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225" windowWidth="9690" windowHeight="1170" tabRatio="817" activeTab="1"/>
  </bookViews>
  <sheets>
    <sheet name="Район ФФПП 2019" sheetId="115" r:id="rId1"/>
    <sheet name="ИНП2020" sheetId="61" r:id="rId2"/>
    <sheet name="ИБР2019" sheetId="94" r:id="rId3"/>
    <sheet name="Район сбалансир 2019" sheetId="117" r:id="rId4"/>
  </sheets>
  <definedNames>
    <definedName name="_xlnm.Print_Titles" localSheetId="2">ИБР2019!$A:$B</definedName>
    <definedName name="_xlnm.Print_Titles" localSheetId="1">ИНП2020!$A:$B,ИНП2020!$3:$8</definedName>
    <definedName name="_xlnm.Print_Titles" localSheetId="3">'Район сбалансир 2019'!$A:$B</definedName>
    <definedName name="_xlnm.Print_Titles" localSheetId="0">'Район ФФПП 2019'!$A:$B</definedName>
    <definedName name="_xlnm.Print_Area" localSheetId="2">ИБР2019!$A$1:$AB$24</definedName>
    <definedName name="_xlnm.Print_Area" localSheetId="1">ИНП2020!$A$1:$U$24</definedName>
    <definedName name="_xlnm.Print_Area" localSheetId="3">'Район сбалансир 2019'!$A$1:$M$24</definedName>
    <definedName name="_xlnm.Print_Area" localSheetId="0">'Район ФФПП 2019'!$A$1:$P$27</definedName>
  </definedNames>
  <calcPr calcId="145621" fullPrecision="0"/>
  <customWorkbookViews>
    <customWorkbookView name="Стручков - Личное представление" guid="{B6C831A1-7ADD-11D2-B33A-00000132002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</customWorkbookViews>
</workbook>
</file>

<file path=xl/calcChain.xml><?xml version="1.0" encoding="utf-8"?>
<calcChain xmlns="http://schemas.openxmlformats.org/spreadsheetml/2006/main">
  <c r="L23" i="61" l="1"/>
  <c r="L22" i="61"/>
  <c r="L21" i="61"/>
  <c r="L20" i="61"/>
  <c r="L19" i="61"/>
  <c r="L18" i="61"/>
  <c r="L17" i="61"/>
  <c r="L16" i="61"/>
  <c r="L15" i="61"/>
  <c r="L14" i="61"/>
  <c r="L13" i="61"/>
  <c r="L12" i="61"/>
  <c r="L11" i="61"/>
  <c r="L10" i="61"/>
  <c r="L9" i="61"/>
  <c r="AA23" i="94" l="1"/>
  <c r="AB23" i="94" s="1"/>
  <c r="AA22" i="94"/>
  <c r="AA21" i="94"/>
  <c r="AA20" i="94"/>
  <c r="AA19" i="94"/>
  <c r="AA18" i="94"/>
  <c r="AA17" i="94"/>
  <c r="AA16" i="94"/>
  <c r="AB16" i="94" s="1"/>
  <c r="AA15" i="94"/>
  <c r="AB15" i="94" s="1"/>
  <c r="AA14" i="94"/>
  <c r="AA13" i="94"/>
  <c r="AA12" i="94"/>
  <c r="AA11" i="94"/>
  <c r="AB11" i="94" s="1"/>
  <c r="AA10" i="94"/>
  <c r="AA9" i="94"/>
  <c r="O23" i="94"/>
  <c r="O22" i="94"/>
  <c r="O21" i="94"/>
  <c r="O20" i="94"/>
  <c r="O19" i="94"/>
  <c r="O18" i="94"/>
  <c r="P18" i="94" s="1"/>
  <c r="O17" i="94"/>
  <c r="O16" i="94"/>
  <c r="O15" i="94"/>
  <c r="P15" i="94" s="1"/>
  <c r="O14" i="94"/>
  <c r="P14" i="94" s="1"/>
  <c r="O13" i="94"/>
  <c r="O12" i="94"/>
  <c r="P12" i="94" s="1"/>
  <c r="O11" i="94"/>
  <c r="P11" i="94" s="1"/>
  <c r="O10" i="94"/>
  <c r="P10" i="94" s="1"/>
  <c r="O9" i="94"/>
  <c r="M9" i="94"/>
  <c r="N9" i="94" s="1"/>
  <c r="D23" i="94"/>
  <c r="D22" i="94"/>
  <c r="E22" i="94" s="1"/>
  <c r="AP22" i="94" s="1"/>
  <c r="D21" i="94"/>
  <c r="D20" i="94"/>
  <c r="D19" i="94"/>
  <c r="D18" i="94"/>
  <c r="E18" i="94" s="1"/>
  <c r="D17" i="94"/>
  <c r="D16" i="94"/>
  <c r="D15" i="94"/>
  <c r="D14" i="94"/>
  <c r="E14" i="94" s="1"/>
  <c r="D13" i="94"/>
  <c r="D12" i="94"/>
  <c r="D11" i="94"/>
  <c r="D10" i="94"/>
  <c r="E10" i="94" s="1"/>
  <c r="D9" i="94"/>
  <c r="E9" i="94" s="1"/>
  <c r="AP9" i="94" s="1"/>
  <c r="F9" i="94"/>
  <c r="G9" i="94" s="1"/>
  <c r="I9" i="94" s="1"/>
  <c r="L9" i="94"/>
  <c r="P9" i="94"/>
  <c r="R9" i="94"/>
  <c r="T9" i="94"/>
  <c r="V9" i="94"/>
  <c r="X9" i="94"/>
  <c r="Z9" i="94"/>
  <c r="AB9" i="94"/>
  <c r="AD9" i="94"/>
  <c r="AI9" i="94"/>
  <c r="AL9" i="94"/>
  <c r="AO9" i="94"/>
  <c r="F10" i="94"/>
  <c r="G10" i="94" s="1"/>
  <c r="I10" i="94" s="1"/>
  <c r="L10" i="94"/>
  <c r="N10" i="94"/>
  <c r="R10" i="94"/>
  <c r="T10" i="94"/>
  <c r="V10" i="94"/>
  <c r="X10" i="94"/>
  <c r="Z10" i="94"/>
  <c r="AB10" i="94"/>
  <c r="AD10" i="94"/>
  <c r="AI10" i="94"/>
  <c r="AL10" i="94"/>
  <c r="AO10" i="94"/>
  <c r="E11" i="94"/>
  <c r="F11" i="94"/>
  <c r="G11" i="94" s="1"/>
  <c r="I11" i="94" s="1"/>
  <c r="L11" i="94"/>
  <c r="N11" i="94"/>
  <c r="R11" i="94"/>
  <c r="T11" i="94"/>
  <c r="V11" i="94"/>
  <c r="X11" i="94"/>
  <c r="Z11" i="94"/>
  <c r="AD11" i="94"/>
  <c r="AI11" i="94"/>
  <c r="AL11" i="94"/>
  <c r="AO11" i="94"/>
  <c r="E12" i="94"/>
  <c r="AP12" i="94" s="1"/>
  <c r="F12" i="94"/>
  <c r="G12" i="94" s="1"/>
  <c r="I12" i="94" s="1"/>
  <c r="L12" i="94"/>
  <c r="N12" i="94"/>
  <c r="R12" i="94"/>
  <c r="T12" i="94"/>
  <c r="V12" i="94"/>
  <c r="X12" i="94"/>
  <c r="Z12" i="94"/>
  <c r="AB12" i="94"/>
  <c r="AD12" i="94"/>
  <c r="AI12" i="94"/>
  <c r="AL12" i="94"/>
  <c r="AO12" i="94"/>
  <c r="E13" i="94"/>
  <c r="F13" i="94"/>
  <c r="G13" i="94" s="1"/>
  <c r="I13" i="94" s="1"/>
  <c r="L13" i="94"/>
  <c r="N13" i="94"/>
  <c r="P13" i="94"/>
  <c r="R13" i="94"/>
  <c r="T13" i="94"/>
  <c r="V13" i="94"/>
  <c r="X13" i="94"/>
  <c r="Z13" i="94"/>
  <c r="AB13" i="94"/>
  <c r="AD13" i="94"/>
  <c r="AI13" i="94"/>
  <c r="AL13" i="94"/>
  <c r="AO13" i="94"/>
  <c r="F14" i="94"/>
  <c r="G14" i="94" s="1"/>
  <c r="I14" i="94" s="1"/>
  <c r="L14" i="94"/>
  <c r="N14" i="94"/>
  <c r="R14" i="94"/>
  <c r="T14" i="94"/>
  <c r="V14" i="94"/>
  <c r="X14" i="94"/>
  <c r="Z14" i="94"/>
  <c r="AB14" i="94"/>
  <c r="AD14" i="94"/>
  <c r="AI14" i="94"/>
  <c r="AL14" i="94"/>
  <c r="AO14" i="94"/>
  <c r="E15" i="94"/>
  <c r="F15" i="94"/>
  <c r="G15" i="94" s="1"/>
  <c r="I15" i="94" s="1"/>
  <c r="L15" i="94"/>
  <c r="N15" i="94"/>
  <c r="R15" i="94"/>
  <c r="T15" i="94"/>
  <c r="V15" i="94"/>
  <c r="X15" i="94"/>
  <c r="Z15" i="94"/>
  <c r="AD15" i="94"/>
  <c r="AI15" i="94"/>
  <c r="AL15" i="94"/>
  <c r="AO15" i="94"/>
  <c r="E16" i="94"/>
  <c r="F16" i="94"/>
  <c r="G16" i="94" s="1"/>
  <c r="I16" i="94" s="1"/>
  <c r="L16" i="94"/>
  <c r="N16" i="94"/>
  <c r="P16" i="94"/>
  <c r="R16" i="94"/>
  <c r="T16" i="94"/>
  <c r="V16" i="94"/>
  <c r="X16" i="94"/>
  <c r="Z16" i="94"/>
  <c r="AD16" i="94"/>
  <c r="AI16" i="94"/>
  <c r="AL16" i="94"/>
  <c r="AO16" i="94"/>
  <c r="E17" i="94"/>
  <c r="AP17" i="94" s="1"/>
  <c r="F17" i="94"/>
  <c r="G17" i="94" s="1"/>
  <c r="I17" i="94" s="1"/>
  <c r="L17" i="94"/>
  <c r="N17" i="94"/>
  <c r="P17" i="94"/>
  <c r="R17" i="94"/>
  <c r="T17" i="94"/>
  <c r="V17" i="94"/>
  <c r="X17" i="94"/>
  <c r="Z17" i="94"/>
  <c r="AB17" i="94"/>
  <c r="AD17" i="94"/>
  <c r="AI17" i="94"/>
  <c r="AL17" i="94"/>
  <c r="AO17" i="94"/>
  <c r="F18" i="94"/>
  <c r="G18" i="94" s="1"/>
  <c r="I18" i="94" s="1"/>
  <c r="L18" i="94"/>
  <c r="N18" i="94"/>
  <c r="R18" i="94"/>
  <c r="T18" i="94"/>
  <c r="V18" i="94"/>
  <c r="X18" i="94"/>
  <c r="Z18" i="94"/>
  <c r="AB18" i="94"/>
  <c r="AD18" i="94"/>
  <c r="AI18" i="94"/>
  <c r="AL18" i="94"/>
  <c r="AO18" i="94"/>
  <c r="E19" i="94"/>
  <c r="AP19" i="94" s="1"/>
  <c r="F19" i="94"/>
  <c r="G19" i="94" s="1"/>
  <c r="I19" i="94" s="1"/>
  <c r="L19" i="94"/>
  <c r="N19" i="94"/>
  <c r="P19" i="94"/>
  <c r="R19" i="94"/>
  <c r="T19" i="94"/>
  <c r="V19" i="94"/>
  <c r="X19" i="94"/>
  <c r="Z19" i="94"/>
  <c r="AB19" i="94"/>
  <c r="AD19" i="94"/>
  <c r="AI19" i="94"/>
  <c r="AL19" i="94"/>
  <c r="AO19" i="94"/>
  <c r="E20" i="94"/>
  <c r="F20" i="94"/>
  <c r="G20" i="94" s="1"/>
  <c r="I20" i="94" s="1"/>
  <c r="L20" i="94"/>
  <c r="N20" i="94"/>
  <c r="P20" i="94"/>
  <c r="R20" i="94"/>
  <c r="T20" i="94"/>
  <c r="V20" i="94"/>
  <c r="X20" i="94"/>
  <c r="Z20" i="94"/>
  <c r="AB20" i="94"/>
  <c r="AD20" i="94"/>
  <c r="AI20" i="94"/>
  <c r="AL20" i="94"/>
  <c r="AO20" i="94"/>
  <c r="E21" i="94"/>
  <c r="AP21" i="94" s="1"/>
  <c r="F21" i="94"/>
  <c r="G21" i="94" s="1"/>
  <c r="I21" i="94" s="1"/>
  <c r="L21" i="94"/>
  <c r="N21" i="94"/>
  <c r="P21" i="94"/>
  <c r="R21" i="94"/>
  <c r="T21" i="94"/>
  <c r="V21" i="94"/>
  <c r="X21" i="94"/>
  <c r="Z21" i="94"/>
  <c r="AB21" i="94"/>
  <c r="AD21" i="94"/>
  <c r="AI21" i="94"/>
  <c r="AL21" i="94"/>
  <c r="AO21" i="94"/>
  <c r="F22" i="94"/>
  <c r="G22" i="94" s="1"/>
  <c r="I22" i="94" s="1"/>
  <c r="L22" i="94"/>
  <c r="N22" i="94"/>
  <c r="P22" i="94"/>
  <c r="R22" i="94"/>
  <c r="T22" i="94"/>
  <c r="V22" i="94"/>
  <c r="X22" i="94"/>
  <c r="Z22" i="94"/>
  <c r="AB22" i="94"/>
  <c r="AD22" i="94"/>
  <c r="AI22" i="94"/>
  <c r="AL22" i="94"/>
  <c r="AO22" i="94"/>
  <c r="E23" i="94"/>
  <c r="F23" i="94"/>
  <c r="G23" i="94" s="1"/>
  <c r="I23" i="94" s="1"/>
  <c r="L23" i="94"/>
  <c r="N23" i="94"/>
  <c r="P23" i="94"/>
  <c r="R23" i="94"/>
  <c r="T23" i="94"/>
  <c r="V23" i="94"/>
  <c r="X23" i="94"/>
  <c r="Z23" i="94"/>
  <c r="AD23" i="94"/>
  <c r="AI23" i="94"/>
  <c r="AL23" i="94"/>
  <c r="AO23" i="94"/>
  <c r="E23" i="61"/>
  <c r="E22" i="61"/>
  <c r="E21" i="61"/>
  <c r="E20" i="61"/>
  <c r="E19" i="61"/>
  <c r="E18" i="61"/>
  <c r="E17" i="61"/>
  <c r="E16" i="61"/>
  <c r="E15" i="61"/>
  <c r="E14" i="61"/>
  <c r="E13" i="61"/>
  <c r="E12" i="61"/>
  <c r="E11" i="61"/>
  <c r="E10" i="61"/>
  <c r="E9" i="61"/>
  <c r="AP23" i="94" l="1"/>
  <c r="AP20" i="94"/>
  <c r="AP16" i="94"/>
  <c r="AP11" i="94"/>
  <c r="AP15" i="94"/>
  <c r="AP13" i="94"/>
  <c r="AQ13" i="94" s="1"/>
  <c r="AP10" i="94"/>
  <c r="AQ10" i="94" s="1"/>
  <c r="AP14" i="94"/>
  <c r="AP18" i="94"/>
  <c r="AQ17" i="94"/>
  <c r="AQ21" i="94"/>
  <c r="AQ23" i="94"/>
  <c r="AQ20" i="94"/>
  <c r="AQ16" i="94"/>
  <c r="AQ9" i="94"/>
  <c r="AQ11" i="94"/>
  <c r="AQ15" i="94"/>
  <c r="AQ19" i="94"/>
  <c r="AQ14" i="94"/>
  <c r="AQ18" i="94"/>
  <c r="AQ22" i="94"/>
  <c r="AQ12" i="94"/>
  <c r="S23" i="61"/>
  <c r="S22" i="61"/>
  <c r="S21" i="61"/>
  <c r="S20" i="61"/>
  <c r="S19" i="61"/>
  <c r="S18" i="61"/>
  <c r="S17" i="61"/>
  <c r="S16" i="61"/>
  <c r="S15" i="61"/>
  <c r="S14" i="61"/>
  <c r="S13" i="61"/>
  <c r="S12" i="61"/>
  <c r="S11" i="61"/>
  <c r="S10" i="61"/>
  <c r="S9" i="61"/>
  <c r="K23" i="61"/>
  <c r="K22" i="61"/>
  <c r="K21" i="61"/>
  <c r="K20" i="61"/>
  <c r="K19" i="61"/>
  <c r="K18" i="61"/>
  <c r="K17" i="61"/>
  <c r="K16" i="61"/>
  <c r="K15" i="61"/>
  <c r="K14" i="61"/>
  <c r="K13" i="61"/>
  <c r="K12" i="61"/>
  <c r="K11" i="61"/>
  <c r="K10" i="61"/>
  <c r="K9" i="61"/>
  <c r="M12" i="117" l="1"/>
  <c r="F14" i="117" l="1"/>
  <c r="F15" i="117"/>
  <c r="F16" i="117"/>
  <c r="F17" i="117"/>
  <c r="F18" i="117"/>
  <c r="F19" i="117"/>
  <c r="F20" i="117"/>
  <c r="F21" i="117"/>
  <c r="F22" i="117"/>
  <c r="F23" i="117"/>
  <c r="F13" i="117"/>
  <c r="Q24" i="61" l="1"/>
  <c r="P24" i="61"/>
  <c r="AN55" i="94" l="1"/>
  <c r="AJ55" i="94"/>
  <c r="AG55" i="94"/>
  <c r="AC55" i="94"/>
  <c r="C55" i="94"/>
  <c r="Z54" i="94"/>
  <c r="X54" i="94"/>
  <c r="V54" i="94"/>
  <c r="Z53" i="94"/>
  <c r="X53" i="94"/>
  <c r="V53" i="94"/>
  <c r="Z52" i="94"/>
  <c r="X52" i="94"/>
  <c r="V52" i="94"/>
  <c r="Z51" i="94"/>
  <c r="X51" i="94"/>
  <c r="V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AJ24" i="94"/>
  <c r="AG24" i="94"/>
  <c r="AF24" i="94"/>
  <c r="AE24" i="94"/>
  <c r="J24" i="94"/>
  <c r="I3" i="94"/>
  <c r="L3" i="94" s="1"/>
  <c r="N3" i="94" s="1"/>
  <c r="P3" i="94" s="1"/>
  <c r="R3" i="94" s="1"/>
  <c r="T3" i="94" s="1"/>
  <c r="V3" i="94" s="1"/>
  <c r="X3" i="94" s="1"/>
  <c r="Z3" i="94" s="1"/>
  <c r="AB3" i="94" s="1"/>
  <c r="AD3" i="94" s="1"/>
  <c r="AE3" i="94" s="1"/>
  <c r="AF3" i="94" s="1"/>
  <c r="AI3" i="94" s="1"/>
  <c r="AL3" i="94" s="1"/>
  <c r="AO3" i="94" s="1"/>
  <c r="L24" i="94" l="1"/>
  <c r="AO24" i="94"/>
  <c r="Z55" i="94"/>
  <c r="AI24" i="94"/>
  <c r="V55" i="94"/>
  <c r="X55" i="94"/>
  <c r="C24" i="94"/>
  <c r="AL24" i="94"/>
  <c r="AB24" i="94" l="1"/>
  <c r="X24" i="94"/>
  <c r="T24" i="94"/>
  <c r="P24" i="94"/>
  <c r="AD24" i="94"/>
  <c r="V24" i="94"/>
  <c r="N24" i="94"/>
  <c r="Z24" i="94"/>
  <c r="R24" i="94"/>
  <c r="F24" i="94"/>
  <c r="E24" i="94"/>
  <c r="G24" i="94" l="1"/>
  <c r="I24" i="94" l="1"/>
  <c r="AP24" i="94" l="1"/>
  <c r="AQ24" i="94"/>
  <c r="AR22" i="94" l="1"/>
  <c r="AR17" i="94"/>
  <c r="E20" i="115" s="1"/>
  <c r="AR9" i="94"/>
  <c r="AR16" i="94"/>
  <c r="E19" i="115" s="1"/>
  <c r="AR10" i="94"/>
  <c r="E13" i="115" s="1"/>
  <c r="AR20" i="94"/>
  <c r="E23" i="115" s="1"/>
  <c r="AR14" i="94"/>
  <c r="E17" i="115" s="1"/>
  <c r="AR15" i="94"/>
  <c r="E18" i="115" s="1"/>
  <c r="AR23" i="94"/>
  <c r="AR13" i="94"/>
  <c r="E16" i="115" s="1"/>
  <c r="AR18" i="94"/>
  <c r="E21" i="115" s="1"/>
  <c r="AR12" i="94"/>
  <c r="E15" i="115" s="1"/>
  <c r="AR19" i="94"/>
  <c r="E22" i="115" s="1"/>
  <c r="AR21" i="94"/>
  <c r="E24" i="115" s="1"/>
  <c r="AR11" i="94"/>
  <c r="E14" i="115" s="1"/>
  <c r="AR24" i="94"/>
  <c r="E27" i="115" s="1"/>
  <c r="E25" i="115" l="1"/>
  <c r="E26" i="115"/>
  <c r="E12" i="115"/>
  <c r="E24" i="117" l="1"/>
  <c r="G27" i="115" l="1"/>
  <c r="K14" i="117" l="1"/>
  <c r="L14" i="117" s="1"/>
  <c r="K15" i="117"/>
  <c r="L15" i="117" s="1"/>
  <c r="K16" i="117"/>
  <c r="L16" i="117" s="1"/>
  <c r="K17" i="117"/>
  <c r="L17" i="117" s="1"/>
  <c r="K18" i="117"/>
  <c r="L18" i="117" s="1"/>
  <c r="K19" i="117"/>
  <c r="L19" i="117" s="1"/>
  <c r="K20" i="117"/>
  <c r="L20" i="117" s="1"/>
  <c r="K21" i="117"/>
  <c r="L21" i="117" s="1"/>
  <c r="K22" i="117"/>
  <c r="L22" i="117" s="1"/>
  <c r="K23" i="117"/>
  <c r="L23" i="117" s="1"/>
  <c r="K13" i="117"/>
  <c r="L13" i="117" s="1"/>
  <c r="G24" i="117"/>
  <c r="H24" i="117"/>
  <c r="I24" i="117"/>
  <c r="J24" i="117"/>
  <c r="L24" i="117" l="1"/>
  <c r="M16" i="117" s="1"/>
  <c r="M14" i="117"/>
  <c r="K24" i="117"/>
  <c r="F24" i="117"/>
  <c r="A2" i="117"/>
  <c r="M15" i="117" l="1"/>
  <c r="M18" i="117"/>
  <c r="M19" i="117"/>
  <c r="M13" i="117"/>
  <c r="M22" i="117"/>
  <c r="M23" i="117"/>
  <c r="M17" i="117"/>
  <c r="M21" i="117"/>
  <c r="M20" i="117"/>
  <c r="M24" i="117" l="1"/>
  <c r="D24" i="117"/>
  <c r="I24" i="61" l="1"/>
  <c r="C24" i="117" l="1"/>
  <c r="M11" i="115"/>
  <c r="S24" i="61" l="1"/>
  <c r="L24" i="61"/>
  <c r="C24" i="61"/>
  <c r="O24" i="61" l="1"/>
  <c r="C27" i="115" l="1"/>
  <c r="A2" i="115"/>
  <c r="K24" i="61" l="1"/>
  <c r="H24" i="61"/>
  <c r="D24" i="61" l="1"/>
  <c r="T14" i="61"/>
  <c r="T19" i="61"/>
  <c r="T18" i="61"/>
  <c r="T23" i="61"/>
  <c r="T17" i="61"/>
  <c r="T11" i="61"/>
  <c r="T13" i="61"/>
  <c r="T22" i="61"/>
  <c r="T15" i="61"/>
  <c r="T20" i="61"/>
  <c r="T21" i="61"/>
  <c r="T12" i="61"/>
  <c r="T16" i="61"/>
  <c r="T10" i="61"/>
  <c r="T9" i="61"/>
  <c r="F16" i="115" l="1"/>
  <c r="T24" i="61"/>
  <c r="U24" i="61" s="1"/>
  <c r="D27" i="115" s="1"/>
  <c r="F12" i="115"/>
  <c r="F13" i="115"/>
  <c r="F22" i="115"/>
  <c r="F24" i="115"/>
  <c r="F14" i="115"/>
  <c r="F20" i="115"/>
  <c r="F17" i="115"/>
  <c r="F21" i="115"/>
  <c r="F23" i="115"/>
  <c r="F19" i="115"/>
  <c r="F18" i="115"/>
  <c r="F15" i="115"/>
  <c r="F25" i="115"/>
  <c r="F26" i="115"/>
  <c r="G24" i="61"/>
  <c r="U12" i="61" l="1"/>
  <c r="D15" i="115" s="1"/>
  <c r="U18" i="61"/>
  <c r="D21" i="115" s="1"/>
  <c r="U23" i="61"/>
  <c r="D26" i="115" s="1"/>
  <c r="U20" i="61"/>
  <c r="D23" i="115" s="1"/>
  <c r="U14" i="61"/>
  <c r="D17" i="115" s="1"/>
  <c r="U11" i="61"/>
  <c r="D14" i="115" s="1"/>
  <c r="U19" i="61"/>
  <c r="D22" i="115" s="1"/>
  <c r="I12" i="115"/>
  <c r="F27" i="115"/>
  <c r="K2" i="115" s="1"/>
  <c r="H12" i="115"/>
  <c r="H25" i="115"/>
  <c r="I25" i="115"/>
  <c r="H18" i="115"/>
  <c r="I18" i="115"/>
  <c r="I26" i="115"/>
  <c r="H26" i="115"/>
  <c r="I19" i="115"/>
  <c r="H19" i="115"/>
  <c r="I20" i="115"/>
  <c r="H20" i="115"/>
  <c r="I24" i="115"/>
  <c r="H24" i="115"/>
  <c r="H13" i="115"/>
  <c r="I13" i="115"/>
  <c r="H15" i="115"/>
  <c r="I15" i="115"/>
  <c r="U16" i="61"/>
  <c r="D19" i="115" s="1"/>
  <c r="H21" i="115"/>
  <c r="I21" i="115"/>
  <c r="U17" i="61"/>
  <c r="D20" i="115" s="1"/>
  <c r="U21" i="61"/>
  <c r="D24" i="115" s="1"/>
  <c r="U10" i="61"/>
  <c r="D13" i="115" s="1"/>
  <c r="I16" i="115"/>
  <c r="H16" i="115"/>
  <c r="U22" i="61"/>
  <c r="D25" i="115" s="1"/>
  <c r="U15" i="61"/>
  <c r="D18" i="115" s="1"/>
  <c r="H23" i="115"/>
  <c r="I23" i="115"/>
  <c r="I17" i="115"/>
  <c r="H17" i="115"/>
  <c r="H14" i="115"/>
  <c r="I14" i="115"/>
  <c r="I22" i="115"/>
  <c r="H22" i="115"/>
  <c r="U9" i="61"/>
  <c r="D12" i="115" s="1"/>
  <c r="U13" i="61"/>
  <c r="D16" i="115" s="1"/>
  <c r="I27" i="115" l="1"/>
  <c r="H27" i="115"/>
  <c r="J15" i="115" s="1"/>
  <c r="J19" i="115" l="1"/>
  <c r="K19" i="115" s="1"/>
  <c r="J24" i="115"/>
  <c r="K24" i="115" s="1"/>
  <c r="J12" i="115"/>
  <c r="K12" i="115" s="1"/>
  <c r="J17" i="115"/>
  <c r="K17" i="115" s="1"/>
  <c r="J25" i="115"/>
  <c r="K25" i="115" s="1"/>
  <c r="K15" i="115"/>
  <c r="J18" i="115"/>
  <c r="J23" i="115"/>
  <c r="J20" i="115"/>
  <c r="J13" i="115"/>
  <c r="J26" i="115"/>
  <c r="J14" i="115"/>
  <c r="J16" i="115"/>
  <c r="J22" i="115"/>
  <c r="J21" i="115"/>
  <c r="K16" i="115" l="1"/>
  <c r="K13" i="115"/>
  <c r="K21" i="115"/>
  <c r="K14" i="115"/>
  <c r="K23" i="115"/>
  <c r="K22" i="115"/>
  <c r="J27" i="115"/>
  <c r="K26" i="115"/>
  <c r="K20" i="115"/>
  <c r="K18" i="115"/>
  <c r="K27" i="115" l="1"/>
  <c r="L21" i="115" s="1"/>
  <c r="L20" i="115" l="1"/>
  <c r="L26" i="115"/>
  <c r="L22" i="115"/>
  <c r="L23" i="115"/>
  <c r="L16" i="115"/>
  <c r="L12" i="115"/>
  <c r="L15" i="115"/>
  <c r="L19" i="115"/>
  <c r="L24" i="115"/>
  <c r="L25" i="115"/>
  <c r="L17" i="115"/>
  <c r="L14" i="115"/>
  <c r="L13" i="115"/>
  <c r="L18" i="115"/>
  <c r="L27" i="115" l="1"/>
  <c r="M21" i="115" s="1"/>
  <c r="M26" i="115" l="1"/>
  <c r="M13" i="115"/>
  <c r="M18" i="115"/>
  <c r="M19" i="115"/>
  <c r="M14" i="115"/>
  <c r="M25" i="115"/>
  <c r="M20" i="115"/>
  <c r="M17" i="115"/>
  <c r="M22" i="115"/>
  <c r="M23" i="115"/>
  <c r="M16" i="115"/>
  <c r="M24" i="115"/>
  <c r="M15" i="115"/>
  <c r="O21" i="115"/>
  <c r="P21" i="115" s="1"/>
  <c r="N21" i="115"/>
  <c r="M12" i="115"/>
  <c r="O25" i="115" l="1"/>
  <c r="P25" i="115" s="1"/>
  <c r="N25" i="115"/>
  <c r="O20" i="115"/>
  <c r="P20" i="115" s="1"/>
  <c r="N20" i="115"/>
  <c r="O22" i="115"/>
  <c r="P22" i="115" s="1"/>
  <c r="N22" i="115"/>
  <c r="O23" i="115"/>
  <c r="P23" i="115" s="1"/>
  <c r="N23" i="115"/>
  <c r="O19" i="115"/>
  <c r="P19" i="115" s="1"/>
  <c r="N19" i="115"/>
  <c r="O13" i="115"/>
  <c r="P13" i="115" s="1"/>
  <c r="N13" i="115"/>
  <c r="M27" i="115"/>
  <c r="O12" i="115"/>
  <c r="N12" i="115"/>
  <c r="O16" i="115"/>
  <c r="P16" i="115" s="1"/>
  <c r="N16" i="115"/>
  <c r="O15" i="115"/>
  <c r="P15" i="115" s="1"/>
  <c r="N15" i="115"/>
  <c r="O18" i="115"/>
  <c r="P18" i="115" s="1"/>
  <c r="N18" i="115"/>
  <c r="O17" i="115"/>
  <c r="P17" i="115" s="1"/>
  <c r="N17" i="115"/>
  <c r="O14" i="115"/>
  <c r="P14" i="115" s="1"/>
  <c r="N14" i="115"/>
  <c r="O26" i="115"/>
  <c r="P26" i="115" s="1"/>
  <c r="N26" i="115"/>
  <c r="O24" i="115"/>
  <c r="P24" i="115" s="1"/>
  <c r="N24" i="115"/>
  <c r="N27" i="115" l="1"/>
  <c r="P12" i="115"/>
  <c r="P27" i="115" s="1"/>
  <c r="O27" i="115"/>
</calcChain>
</file>

<file path=xl/sharedStrings.xml><?xml version="1.0" encoding="utf-8"?>
<sst xmlns="http://schemas.openxmlformats.org/spreadsheetml/2006/main" count="341" uniqueCount="195">
  <si>
    <t>ИТОГО</t>
  </si>
  <si>
    <t>№ п/п</t>
  </si>
  <si>
    <t>Территория / показатель</t>
  </si>
  <si>
    <t>Индекс налогового потенциала (ИНП)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</si>
  <si>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</si>
  <si>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</si>
  <si>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</si>
  <si>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</si>
  <si>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</si>
  <si>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</si>
  <si>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</si>
  <si>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</si>
  <si>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</si>
  <si>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</si>
  <si>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</si>
  <si>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</si>
  <si>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</si>
  <si>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</si>
  <si>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</si>
  <si>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</si>
  <si>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</si>
  <si>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</si>
  <si>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</si>
  <si>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</si>
  <si>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</si>
  <si>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</si>
  <si>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</si>
  <si>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</si>
  <si>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</si>
  <si>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</si>
  <si>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1</t>
  </si>
  <si>
    <t>Поселение 2</t>
  </si>
  <si>
    <t>Поселение 3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</si>
  <si>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</si>
  <si>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</si>
  <si>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</si>
  <si>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</si>
  <si>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</si>
  <si>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</si>
  <si>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</si>
  <si>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</si>
  <si>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</si>
  <si>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</si>
  <si>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</si>
  <si>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</si>
  <si>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</si>
  <si>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</si>
  <si>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</si>
  <si>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</si>
  <si>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</si>
  <si>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</si>
  <si>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</si>
  <si>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</si>
  <si>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</si>
  <si>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</si>
  <si>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</si>
  <si>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</si>
  <si>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</si>
  <si>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</si>
  <si>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</si>
  <si>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Расходы на осуществление поддержки сельскохозяйственного производства</t>
  </si>
  <si>
    <t>Нормы расходов  на организацию мероприятий по обеспечению безопасности гидротнхнических сооружений в расчете на 1 ГТС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</si>
  <si>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</si>
  <si>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</si>
  <si>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</si>
  <si>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</si>
  <si>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</si>
  <si>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</si>
  <si>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</si>
  <si>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</si>
  <si>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</si>
  <si>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</si>
  <si>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</si>
  <si>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</si>
  <si>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</si>
  <si>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</si>
  <si>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</si>
  <si>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</si>
  <si>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</si>
  <si>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</si>
  <si>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</si>
  <si>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</si>
  <si>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</si>
  <si>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</si>
  <si>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</si>
  <si>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</si>
  <si>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</si>
  <si>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</si>
  <si>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</si>
  <si>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</si>
  <si>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</si>
  <si>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</si>
  <si>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Расходы на участие в предупреждении и ликвидации последствий чрезвычайных ситуаций,обеспечение первичных мер пожарной безопасности,организацию и осуществление мероприятий по гражданской обороне,защите населения и территории от чрезвычайных ситуаций природного и техногенного характера, создание,содержание и организацию деятельности аварийно-спасательных служб и (или) аварийно-спасательных формирований,осуществление мероприятий по обеспечению безопасности людей на водных объектах ,охране их жизни и здоровья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</si>
  <si>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</si>
  <si>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</si>
  <si>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</si>
  <si>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</si>
  <si>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Доля недостающих средств в общей сумме муниципального района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</si>
  <si>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</si>
  <si>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</si>
  <si>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</si>
  <si>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</si>
  <si>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</si>
  <si>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Оценка объема доходов</t>
  </si>
  <si>
    <t>(Районный фонд финансовой поддержки поселений)</t>
  </si>
  <si>
    <t>Сумма средств дотации на выравнивание бюджетной обеспеченности из Районного фонда финансовой поддержки поселений</t>
  </si>
  <si>
    <t>Расчетный объем нецелевых ресурсов с учетом налогового потенциала и средств Районного фонда финансовой поддержки поселений</t>
  </si>
  <si>
    <t>Расчетные доходы бюджета поселения с учетом средств Районного фонда финансовой поддержки поселений на 1 жителя</t>
  </si>
  <si>
    <t>Расчетный уровень бюджетной обеспеченности налоговым потенциалом и средствами Районным фондом финансовой поддержки поселений</t>
  </si>
  <si>
    <t>4а</t>
  </si>
  <si>
    <t>Дополнительный доходный потенциал в части дотаций из областного бюджета</t>
  </si>
  <si>
    <t>РАСЧЕТ распределения средств</t>
  </si>
  <si>
    <t xml:space="preserve">на поддержку мер по обеспечению сбалансированности бюджетов поселений </t>
  </si>
  <si>
    <t>Дотации на выравнивание бюджетной обеспеченности из бюджета муниципального района (Районный фонд финансовой поддержки поселений)</t>
  </si>
  <si>
    <t>4=1+2+3</t>
  </si>
  <si>
    <t xml:space="preserve">Социально значимые и первоочередные расходы по полномочию 1 </t>
  </si>
  <si>
    <t>9=сумм(5:8)</t>
  </si>
  <si>
    <t>5=(4+4а)/3</t>
  </si>
  <si>
    <t>5а=(4+4а)/1</t>
  </si>
  <si>
    <t>Расходы на функционирование органов управления</t>
  </si>
  <si>
    <t>Численность членов  малоимущих семей,чел                (5% от общей численности)</t>
  </si>
  <si>
    <r>
      <t>Необходимое количество жилой площади малоимущим гражданам, м</t>
    </r>
    <r>
      <rPr>
        <b/>
        <vertAlign val="superscript"/>
        <sz val="9"/>
        <rFont val="Times New Roman"/>
        <family val="1"/>
        <charset val="204"/>
      </rPr>
      <t>2</t>
    </r>
  </si>
  <si>
    <t>Расходы на обеспечение малоимущих граждан, нуждающихся в улучшении жилищных условий, жилыми помещениями в соответствии с жилищным законадательство, организация строительства и создание условий для жилищного строительства</t>
  </si>
  <si>
    <t>Плановый пробег, тыс.км</t>
  </si>
  <si>
    <t>Расходы на создание условий для предоставления транспортных услуг населению и организация транспортного обслуживания населения</t>
  </si>
  <si>
    <t>Расходы на создание условий для обеспечения жителей услугами связи, общественного питания, торговли и бытового обслуживания (бани)</t>
  </si>
  <si>
    <t>Расходы на мероприятия в сфере культуры</t>
  </si>
  <si>
    <t>Расходы на организацию ритуальных услуг и содержание мест захоронения</t>
  </si>
  <si>
    <t>Расходы на благоустройство и озеленение территории</t>
  </si>
  <si>
    <t xml:space="preserve">Расходы на организацию уличного освещения и установку указателей с названиями улиц и номерами домов </t>
  </si>
  <si>
    <t xml:space="preserve">Расходы на организацию и осуществление мероприятий по работе с детьми и молодежью </t>
  </si>
  <si>
    <t>Расходы на выплату доплат к государственной пенсии муниципальным служащим</t>
  </si>
  <si>
    <t xml:space="preserve">Расходы на уплату налогов </t>
  </si>
  <si>
    <t>Количество функционирующих  подразделений муниципальной  пожарной охраны, шт.</t>
  </si>
  <si>
    <t xml:space="preserve">Расходы на содержание подразделений муниципальной  пожарной охраны  </t>
  </si>
  <si>
    <t>Расходы на организацию мероприятий по обеспечению безопасности гидротнхнических сооружений в расчете на 1 ГТС</t>
  </si>
  <si>
    <t>Эксплуатируемая общая площадь жилого фонда, находящегося в муниципальной собственности, кв.м.</t>
  </si>
  <si>
    <t>Расходы на оплату взноса на капремонт общего имущества в многоквартирных домах, находящихся в мун.собственности</t>
  </si>
  <si>
    <t>Количество функционирующих  гидротнхнических сооружений (ГТС), шт.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</si>
  <si>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</si>
  <si>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</si>
  <si>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</si>
  <si>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</si>
  <si>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</si>
  <si>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</si>
  <si>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</si>
  <si>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</si>
  <si>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</si>
  <si>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</si>
  <si>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</si>
  <si>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</si>
  <si>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</si>
  <si>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</si>
  <si>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</si>
  <si>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</si>
  <si>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</si>
  <si>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</si>
  <si>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</si>
  <si>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</si>
  <si>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Норматив расходов на 1 км пробега, рублей</t>
  </si>
  <si>
    <t>Норматив расходов на 1 функционирующее  подразделение муниципальной  пожарной охраны, тыс.рублей</t>
  </si>
  <si>
    <t>Размер взноса, рублей</t>
  </si>
  <si>
    <t>А</t>
  </si>
  <si>
    <t>7=5×6/1000×1%</t>
  </si>
  <si>
    <t>6=(5/1)/(5общ/1общ)</t>
  </si>
  <si>
    <t>Превышение оценки расходов над доходами</t>
  </si>
  <si>
    <t>Дотация на поддержку мер по обеспечению сбалансированности бюджетов за счет субвенции из областного бюджета</t>
  </si>
  <si>
    <t>10=9-4, если 4&lt;9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</si>
  <si>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</si>
  <si>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r>
      <t>11=Объем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10/10общ</t>
    </r>
  </si>
  <si>
    <t xml:space="preserve">иных дотаций (Рз 1402, ВР 512) [или иных межбюджетных трансфертов (Рз 14 03, ВР 540)] </t>
  </si>
  <si>
    <t>предоставляемых за счет средств бюджета муниципального района</t>
  </si>
  <si>
    <t>за счет средств бюджета муниципального района</t>
  </si>
  <si>
    <t>Глинищевское с.п.</t>
  </si>
  <si>
    <t>Добрунское с.п.</t>
  </si>
  <si>
    <t>Домашовское с.п.</t>
  </si>
  <si>
    <t>Журиничское с.п.</t>
  </si>
  <si>
    <t>Мичуринское с.п.</t>
  </si>
  <si>
    <t>Нетьинское с.п.</t>
  </si>
  <si>
    <t>Новодарковичское с.п.</t>
  </si>
  <si>
    <t>Новосельское с.п.</t>
  </si>
  <si>
    <t>Отрадненское с.п.</t>
  </si>
  <si>
    <t>Пальцовское с.п.</t>
  </si>
  <si>
    <t>Свенское с.п.</t>
  </si>
  <si>
    <t>Снежское с.п.</t>
  </si>
  <si>
    <t>Стекляннорадицкое с.п.</t>
  </si>
  <si>
    <t>Супоневское с.п.</t>
  </si>
  <si>
    <t>Чернетовское с.п.</t>
  </si>
  <si>
    <t>Численность постоянного населения на 01.01.2018, чел.</t>
  </si>
  <si>
    <t>Численность постоянного населения на 1.01.2018, чел.</t>
  </si>
  <si>
    <t>РАСЧЕТ индекса бюджетных расходов на 2019 год</t>
  </si>
  <si>
    <t xml:space="preserve">Стоимость 1 м2  - 30 412 рублей </t>
  </si>
  <si>
    <t>РАСЧЕТ индекса налогового потенциала на 2020 год</t>
  </si>
  <si>
    <t>Численность постоянного населения на 01.01.2019, чел.</t>
  </si>
  <si>
    <t xml:space="preserve">Доля налога в оценке ФОТ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</si>
</sst>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0.000"/>
    <numFmt numFmtId="166" formatCode="0.0000"/>
    <numFmt numFmtId="167" formatCode="#,##0_ ;[Red]\-#,##0\ "/>
    <numFmt numFmtId="168" formatCode="#,##0.0_ ;[Red]\-#,##0.0\ "/>
    <numFmt numFmtId="169" formatCode="#,##0.000_ ;[Red]\-#,##0.000\ "/>
    <numFmt numFmtId="170" formatCode="#,##0.0000_ ;[Red]\-#,##0.0000\ "/>
    <numFmt numFmtId="171" formatCode="#,##0.00000_ ;[Red]\-#,##0.00000\ "/>
    <numFmt numFmtId="172" formatCode="#,##0.0"/>
    <numFmt numFmtId="173" formatCode="0.0"/>
    <numFmt numFmtId="174" formatCode="#,##0.00_ ;[Red]\-#,##0.00\ "/>
  </numFmts>
  <fonts count="52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rgb="FF0000CC"/>
      <name val="Times New Roman Cyr"/>
      <family val="1"/>
      <charset val="204"/>
    </font>
    <font>
      <b/>
      <vertAlign val="superscript"/>
      <sz val="9"/>
      <name val="Times New Roman"/>
      <family val="1"/>
      <charset val="204"/>
    </font>
    <font>
      <i/>
      <vertAlign val="superscript"/>
      <sz val="9"/>
      <name val="Times New Roman Cyr"/>
      <charset val="204"/>
    </font>
    <font>
      <sz val="10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67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3" borderId="1" xfId="2" applyNumberFormat="1" applyFont="1" applyFill="1" applyBorder="1" applyAlignment="1">
      <alignment horizontal="center" vertical="center" wrapText="1"/>
    </xf>
    <xf numFmtId="169" fontId="4" fillId="0" borderId="0" xfId="2" applyNumberFormat="1" applyFill="1"/>
    <xf numFmtId="167" fontId="4" fillId="0" borderId="0" xfId="2" applyNumberFormat="1" applyFill="1"/>
    <xf numFmtId="169" fontId="25" fillId="0" borderId="1" xfId="2" applyNumberFormat="1" applyFont="1" applyFill="1" applyBorder="1"/>
    <xf numFmtId="171" fontId="25" fillId="0" borderId="1" xfId="2" applyNumberFormat="1" applyFont="1" applyFill="1" applyBorder="1"/>
    <xf numFmtId="170" fontId="25" fillId="0" borderId="1" xfId="2" applyNumberFormat="1" applyFont="1" applyFill="1" applyBorder="1"/>
    <xf numFmtId="168" fontId="25" fillId="0" borderId="1" xfId="2" applyNumberFormat="1" applyFont="1" applyFill="1" applyBorder="1"/>
    <xf numFmtId="168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4" borderId="0" xfId="2" applyFill="1"/>
    <xf numFmtId="165" fontId="25" fillId="0" borderId="1" xfId="2" applyNumberFormat="1" applyFont="1" applyFill="1" applyBorder="1"/>
    <xf numFmtId="0" fontId="7" fillId="2" borderId="1" xfId="2" applyFont="1" applyFill="1" applyBorder="1" applyAlignment="1">
      <alignment horizontal="center" vertical="center" wrapText="1"/>
    </xf>
    <xf numFmtId="168" fontId="27" fillId="2" borderId="1" xfId="2" applyNumberFormat="1" applyFont="1" applyFill="1" applyBorder="1"/>
    <xf numFmtId="169" fontId="27" fillId="2" borderId="1" xfId="2" applyNumberFormat="1" applyFont="1" applyFill="1" applyBorder="1"/>
    <xf numFmtId="165" fontId="27" fillId="2" borderId="1" xfId="2" applyNumberFormat="1" applyFont="1" applyFill="1" applyBorder="1"/>
    <xf numFmtId="0" fontId="4" fillId="0" borderId="0" xfId="2" applyFont="1" applyAlignment="1">
      <alignment wrapText="1"/>
    </xf>
    <xf numFmtId="0" fontId="19" fillId="2" borderId="1" xfId="2" applyNumberFormat="1" applyFont="1" applyFill="1" applyBorder="1" applyAlignment="1" applyProtection="1">
      <alignment horizontal="center" wrapText="1"/>
      <protection locked="0"/>
    </xf>
    <xf numFmtId="0" fontId="14" fillId="3" borderId="1" xfId="2" applyFont="1" applyFill="1" applyBorder="1" applyAlignment="1" applyProtection="1">
      <alignment horizontal="center" wrapText="1"/>
      <protection locked="0"/>
    </xf>
    <xf numFmtId="167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67" fontId="30" fillId="0" borderId="1" xfId="2" applyNumberFormat="1" applyFont="1" applyFill="1" applyBorder="1" applyAlignment="1">
      <alignment horizontal="right" wrapText="1"/>
    </xf>
    <xf numFmtId="171" fontId="5" fillId="0" borderId="1" xfId="2" applyNumberFormat="1" applyFont="1" applyFill="1" applyBorder="1" applyAlignment="1">
      <alignment wrapText="1"/>
    </xf>
    <xf numFmtId="165" fontId="4" fillId="0" borderId="0" xfId="2" applyNumberFormat="1" applyFont="1" applyAlignment="1">
      <alignment wrapText="1"/>
    </xf>
    <xf numFmtId="170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2" borderId="1" xfId="2" applyNumberFormat="1" applyFont="1" applyFill="1" applyBorder="1" applyAlignment="1" applyProtection="1">
      <alignment horizontal="center" wrapText="1"/>
      <protection locked="0"/>
    </xf>
    <xf numFmtId="167" fontId="24" fillId="0" borderId="1" xfId="2" applyNumberFormat="1" applyFont="1" applyFill="1" applyBorder="1" applyAlignment="1">
      <alignment wrapText="1"/>
    </xf>
    <xf numFmtId="0" fontId="9" fillId="0" borderId="0" xfId="2" applyFont="1"/>
    <xf numFmtId="164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10" fillId="0" borderId="0" xfId="2" applyFont="1" applyFill="1" applyBorder="1"/>
    <xf numFmtId="0" fontId="34" fillId="2" borderId="12" xfId="2" applyFont="1" applyFill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0" fontId="34" fillId="2" borderId="3" xfId="2" applyFont="1" applyFill="1" applyBorder="1" applyAlignment="1">
      <alignment horizontal="center"/>
    </xf>
    <xf numFmtId="0" fontId="41" fillId="3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12" fillId="3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65" fontId="24" fillId="0" borderId="1" xfId="2" applyNumberFormat="1" applyFont="1" applyFill="1" applyBorder="1" applyProtection="1">
      <protection locked="0"/>
    </xf>
    <xf numFmtId="168" fontId="5" fillId="0" borderId="1" xfId="2" applyNumberFormat="1" applyFont="1" applyFill="1" applyBorder="1"/>
    <xf numFmtId="169" fontId="44" fillId="0" borderId="1" xfId="2" applyNumberFormat="1" applyFont="1" applyFill="1" applyBorder="1"/>
    <xf numFmtId="167" fontId="5" fillId="0" borderId="1" xfId="2" applyNumberFormat="1" applyFont="1" applyFill="1" applyBorder="1"/>
    <xf numFmtId="168" fontId="24" fillId="0" borderId="1" xfId="2" applyNumberFormat="1" applyFont="1" applyFill="1" applyBorder="1" applyProtection="1">
      <protection locked="0"/>
    </xf>
    <xf numFmtId="167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74" fontId="5" fillId="0" borderId="1" xfId="2" applyNumberFormat="1" applyFont="1" applyFill="1" applyBorder="1"/>
    <xf numFmtId="169" fontId="5" fillId="0" borderId="1" xfId="2" applyNumberFormat="1" applyFont="1" applyFill="1" applyBorder="1"/>
    <xf numFmtId="167" fontId="24" fillId="0" borderId="1" xfId="2" applyNumberFormat="1" applyFont="1" applyFill="1" applyBorder="1" applyProtection="1">
      <protection locked="0"/>
    </xf>
    <xf numFmtId="167" fontId="45" fillId="0" borderId="1" xfId="2" applyNumberFormat="1" applyFont="1" applyFill="1" applyBorder="1" applyProtection="1">
      <protection locked="0"/>
    </xf>
    <xf numFmtId="167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73" fontId="24" fillId="0" borderId="1" xfId="2" applyNumberFormat="1" applyFont="1" applyFill="1" applyBorder="1" applyProtection="1">
      <protection locked="0"/>
    </xf>
    <xf numFmtId="169" fontId="46" fillId="2" borderId="12" xfId="2" applyNumberFormat="1" applyFont="1" applyFill="1" applyBorder="1"/>
    <xf numFmtId="166" fontId="24" fillId="0" borderId="0" xfId="2" applyNumberFormat="1" applyFont="1" applyFill="1" applyBorder="1" applyProtection="1">
      <protection locked="0"/>
    </xf>
    <xf numFmtId="169" fontId="43" fillId="6" borderId="1" xfId="2" applyNumberFormat="1" applyFont="1" applyFill="1" applyBorder="1" applyProtection="1">
      <protection locked="0"/>
    </xf>
    <xf numFmtId="169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0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69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69" fontId="4" fillId="0" borderId="0" xfId="2" applyNumberFormat="1" applyAlignment="1">
      <alignment wrapText="1"/>
    </xf>
    <xf numFmtId="167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66" fontId="21" fillId="3" borderId="0" xfId="2" applyNumberFormat="1" applyFont="1" applyFill="1" applyBorder="1" applyAlignment="1">
      <alignment wrapText="1"/>
    </xf>
    <xf numFmtId="172" fontId="35" fillId="5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3" borderId="4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172" fontId="12" fillId="3" borderId="2" xfId="2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5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68" fontId="25" fillId="0" borderId="3" xfId="2" applyNumberFormat="1" applyFont="1" applyFill="1" applyBorder="1"/>
    <xf numFmtId="168" fontId="36" fillId="2" borderId="1" xfId="2" applyNumberFormat="1" applyFont="1" applyFill="1" applyBorder="1"/>
    <xf numFmtId="170" fontId="27" fillId="2" borderId="1" xfId="2" applyNumberFormat="1" applyFont="1" applyFill="1" applyBorder="1"/>
    <xf numFmtId="171" fontId="27" fillId="2" borderId="1" xfId="2" applyNumberFormat="1" applyFont="1" applyFill="1" applyBorder="1"/>
    <xf numFmtId="168" fontId="26" fillId="0" borderId="1" xfId="2" applyNumberFormat="1" applyFont="1" applyFill="1" applyBorder="1"/>
    <xf numFmtId="169" fontId="26" fillId="0" borderId="1" xfId="2" applyNumberFormat="1" applyFont="1" applyFill="1" applyBorder="1"/>
    <xf numFmtId="172" fontId="33" fillId="0" borderId="3" xfId="2" applyNumberFormat="1" applyFont="1" applyFill="1" applyBorder="1"/>
    <xf numFmtId="172" fontId="25" fillId="0" borderId="1" xfId="2" applyNumberFormat="1" applyFont="1" applyFill="1" applyBorder="1"/>
    <xf numFmtId="172" fontId="36" fillId="2" borderId="1" xfId="2" applyNumberFormat="1" applyFont="1" applyFill="1" applyBorder="1"/>
    <xf numFmtId="0" fontId="47" fillId="2" borderId="1" xfId="2" applyFont="1" applyFill="1" applyBorder="1" applyAlignment="1">
      <alignment horizontal="center" vertical="center" wrapText="1"/>
    </xf>
    <xf numFmtId="172" fontId="31" fillId="0" borderId="1" xfId="2" applyNumberFormat="1" applyFont="1" applyFill="1" applyBorder="1"/>
    <xf numFmtId="0" fontId="7" fillId="2" borderId="2" xfId="2" applyFont="1" applyFill="1" applyBorder="1" applyAlignment="1">
      <alignment horizontal="center" vertical="center" wrapText="1"/>
    </xf>
    <xf numFmtId="0" fontId="40" fillId="2" borderId="2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48" fillId="7" borderId="0" xfId="2" applyFont="1" applyFill="1" applyBorder="1" applyAlignment="1">
      <alignment horizontal="center"/>
    </xf>
    <xf numFmtId="167" fontId="51" fillId="0" borderId="0" xfId="2" applyNumberFormat="1" applyFont="1"/>
    <xf numFmtId="0" fontId="51" fillId="0" borderId="0" xfId="2" applyFont="1"/>
    <xf numFmtId="0" fontId="7" fillId="2" borderId="2" xfId="2" applyFont="1" applyFill="1" applyBorder="1" applyAlignment="1">
      <alignment horizontal="center"/>
    </xf>
    <xf numFmtId="169" fontId="43" fillId="6" borderId="3" xfId="2" applyNumberFormat="1" applyFont="1" applyFill="1" applyBorder="1" applyProtection="1">
      <protection locked="0"/>
    </xf>
    <xf numFmtId="0" fontId="19" fillId="3" borderId="1" xfId="2" applyFont="1" applyFill="1" applyBorder="1" applyAlignment="1">
      <alignment horizontal="center" wrapText="1"/>
    </xf>
    <xf numFmtId="169" fontId="46" fillId="2" borderId="1" xfId="2" applyNumberFormat="1" applyFont="1" applyFill="1" applyBorder="1" applyAlignment="1">
      <alignment horizontal="center"/>
    </xf>
    <xf numFmtId="0" fontId="34" fillId="2" borderId="1" xfId="2" applyFont="1" applyFill="1" applyBorder="1" applyAlignment="1">
      <alignment horizontal="center"/>
    </xf>
    <xf numFmtId="0" fontId="47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41" fillId="2" borderId="1" xfId="2" applyFont="1" applyFill="1" applyBorder="1" applyAlignment="1">
      <alignment horizontal="center"/>
    </xf>
    <xf numFmtId="0" fontId="14" fillId="3" borderId="1" xfId="2" applyFont="1" applyFill="1" applyBorder="1" applyAlignment="1">
      <alignment horizontal="center"/>
    </xf>
    <xf numFmtId="170" fontId="42" fillId="0" borderId="1" xfId="2" applyNumberFormat="1" applyFont="1" applyFill="1" applyBorder="1"/>
    <xf numFmtId="171" fontId="5" fillId="0" borderId="1" xfId="2" applyNumberFormat="1" applyFont="1" applyFill="1" applyBorder="1"/>
    <xf numFmtId="1" fontId="46" fillId="2" borderId="1" xfId="2" applyNumberFormat="1" applyFont="1" applyFill="1" applyBorder="1"/>
    <xf numFmtId="167" fontId="46" fillId="2" borderId="1" xfId="2" applyNumberFormat="1" applyFont="1" applyFill="1" applyBorder="1"/>
    <xf numFmtId="167" fontId="46" fillId="2" borderId="1" xfId="2" applyNumberFormat="1" applyFont="1" applyFill="1" applyBorder="1" applyAlignment="1">
      <alignment horizontal="center"/>
    </xf>
    <xf numFmtId="169" fontId="46" fillId="2" borderId="1" xfId="2" applyNumberFormat="1" applyFont="1" applyFill="1" applyBorder="1"/>
    <xf numFmtId="0" fontId="13" fillId="2" borderId="1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171" fontId="46" fillId="2" borderId="1" xfId="2" applyNumberFormat="1" applyFont="1" applyFill="1" applyBorder="1"/>
    <xf numFmtId="0" fontId="34" fillId="2" borderId="1" xfId="2" applyFont="1" applyFill="1" applyBorder="1" applyAlignment="1">
      <alignment horizontal="center" vertical="top"/>
    </xf>
    <xf numFmtId="0" fontId="8" fillId="2" borderId="1" xfId="2" applyFont="1" applyFill="1" applyBorder="1" applyAlignment="1">
      <alignment horizontal="center"/>
    </xf>
    <xf numFmtId="168" fontId="46" fillId="2" borderId="1" xfId="2" applyNumberFormat="1" applyFont="1" applyFill="1" applyBorder="1"/>
    <xf numFmtId="0" fontId="34" fillId="2" borderId="1" xfId="2" applyFont="1" applyFill="1" applyBorder="1" applyAlignment="1">
      <alignment horizontal="center"/>
    </xf>
    <xf numFmtId="0" fontId="34" fillId="2" borderId="1" xfId="2" applyFont="1" applyFill="1" applyBorder="1" applyAlignment="1">
      <alignment horizontal="center" vertical="center" wrapText="1"/>
    </xf>
    <xf numFmtId="169" fontId="24" fillId="4" borderId="1" xfId="2" applyNumberFormat="1" applyFont="1" applyFill="1" applyBorder="1" applyProtection="1">
      <protection locked="0"/>
    </xf>
    <xf numFmtId="173" fontId="5" fillId="4" borderId="1" xfId="2" applyNumberFormat="1" applyFont="1" applyFill="1" applyBorder="1"/>
    <xf numFmtId="167" fontId="24" fillId="4" borderId="1" xfId="2" applyNumberFormat="1" applyFont="1" applyFill="1" applyBorder="1" applyProtection="1">
      <protection locked="0"/>
    </xf>
    <xf numFmtId="168" fontId="24" fillId="4" borderId="1" xfId="2" applyNumberFormat="1" applyFont="1" applyFill="1" applyBorder="1" applyProtection="1">
      <protection locked="0"/>
    </xf>
    <xf numFmtId="168" fontId="4" fillId="0" borderId="0" xfId="2" applyNumberFormat="1" applyFill="1"/>
    <xf numFmtId="167" fontId="25" fillId="4" borderId="3" xfId="2" applyNumberFormat="1" applyFont="1" applyFill="1" applyBorder="1"/>
    <xf numFmtId="174" fontId="24" fillId="4" borderId="1" xfId="2" applyNumberFormat="1" applyFont="1" applyFill="1" applyBorder="1" applyProtection="1">
      <protection locked="0"/>
    </xf>
    <xf numFmtId="168" fontId="5" fillId="4" borderId="1" xfId="2" applyNumberFormat="1" applyFont="1" applyFill="1" applyBorder="1"/>
    <xf numFmtId="0" fontId="7" fillId="4" borderId="1" xfId="2" applyFont="1" applyFill="1" applyBorder="1" applyAlignment="1">
      <alignment wrapText="1"/>
    </xf>
    <xf numFmtId="170" fontId="42" fillId="4" borderId="1" xfId="2" applyNumberFormat="1" applyFont="1" applyFill="1" applyBorder="1"/>
    <xf numFmtId="171" fontId="5" fillId="4" borderId="1" xfId="2" applyNumberFormat="1" applyFont="1" applyFill="1" applyBorder="1"/>
    <xf numFmtId="167" fontId="51" fillId="4" borderId="0" xfId="2" applyNumberFormat="1" applyFont="1" applyFill="1"/>
    <xf numFmtId="0" fontId="51" fillId="4" borderId="0" xfId="2" applyFont="1" applyFill="1"/>
    <xf numFmtId="3" fontId="46" fillId="2" borderId="1" xfId="2" applyNumberFormat="1" applyFont="1" applyFill="1" applyBorder="1"/>
    <xf numFmtId="0" fontId="11" fillId="2" borderId="1" xfId="2" applyFont="1" applyFill="1" applyBorder="1" applyAlignment="1">
      <alignment horizontal="center" vertical="center" wrapText="1"/>
    </xf>
    <xf numFmtId="22" fontId="4" fillId="0" borderId="0" xfId="2" applyNumberFormat="1" applyBorder="1" applyAlignment="1">
      <alignment horizontal="center" wrapText="1"/>
    </xf>
    <xf numFmtId="0" fontId="2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/>
    </xf>
    <xf numFmtId="0" fontId="11" fillId="2" borderId="3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wrapText="1"/>
    </xf>
    <xf numFmtId="0" fontId="6" fillId="2" borderId="4" xfId="2" applyFont="1" applyFill="1" applyBorder="1" applyAlignment="1">
      <alignment horizontal="center" wrapText="1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4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0" fontId="34" fillId="2" borderId="1" xfId="2" applyFont="1" applyFill="1" applyBorder="1" applyAlignment="1">
      <alignment horizontal="center" vertical="center" wrapText="1"/>
    </xf>
    <xf numFmtId="0" fontId="38" fillId="2" borderId="1" xfId="2" applyFont="1" applyFill="1" applyBorder="1" applyAlignment="1" applyProtection="1">
      <alignment horizontal="center" vertical="center" wrapText="1"/>
      <protection locked="0"/>
    </xf>
    <xf numFmtId="0" fontId="39" fillId="2" borderId="1" xfId="2" applyFont="1" applyFill="1" applyBorder="1" applyAlignment="1">
      <alignment horizontal="center" vertical="center" wrapText="1"/>
    </xf>
    <xf numFmtId="0" fontId="38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/>
    </xf>
    <xf numFmtId="0" fontId="34" fillId="2" borderId="8" xfId="2" applyFont="1" applyFill="1" applyBorder="1" applyAlignment="1">
      <alignment horizontal="center"/>
    </xf>
    <xf numFmtId="0" fontId="34" fillId="2" borderId="9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38" fillId="2" borderId="2" xfId="2" applyFont="1" applyFill="1" applyBorder="1" applyAlignment="1">
      <alignment horizontal="center" vertical="center" wrapText="1"/>
    </xf>
    <xf numFmtId="0" fontId="39" fillId="2" borderId="6" xfId="2" applyFont="1" applyFill="1" applyBorder="1" applyAlignment="1">
      <alignment horizontal="center" vertical="center" wrapText="1"/>
    </xf>
    <xf numFmtId="0" fontId="39" fillId="2" borderId="2" xfId="2" applyFont="1" applyFill="1" applyBorder="1" applyAlignment="1">
      <alignment horizontal="center" vertical="center" wrapText="1"/>
    </xf>
    <xf numFmtId="0" fontId="39" fillId="2" borderId="3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46" fillId="2" borderId="10" xfId="2" applyFont="1" applyFill="1" applyBorder="1" applyAlignment="1">
      <alignment horizontal="center"/>
    </xf>
    <xf numFmtId="0" fontId="46" fillId="2" borderId="11" xfId="2" applyFont="1" applyFill="1" applyBorder="1" applyAlignment="1">
      <alignment horizontal="center"/>
    </xf>
    <xf numFmtId="0" fontId="13" fillId="2" borderId="6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324970</xdr:colOff>
      <xdr:row>2</xdr:row>
      <xdr:rowOff>113735</xdr:rowOff>
    </xdr:from>
    <xdr:to>
      <xdr:col>10</xdr:col>
      <xdr:colOff>1088737</xdr:colOff>
      <xdr:row>4</xdr:row>
      <xdr:rowOff>201706</xdr:rowOff>
    </xdr:to>
    <xdr:sp macro="" textlink="">
      <xdr:nvSpPr>
        <xdr:cNvPr id="6" name="AutoShape 81"/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</a:p>
      </xdr:txBody>
    </xdr:sp>
    <xdr:clientData/>
  </xdr:twoCellAnchor>
  <xdr:twoCellAnchor>
    <xdr:from>
      <xdr:col>11</xdr:col>
      <xdr:colOff>760319</xdr:colOff>
      <xdr:row>2</xdr:row>
      <xdr:rowOff>177923</xdr:rowOff>
    </xdr:from>
    <xdr:to>
      <xdr:col>13</xdr:col>
      <xdr:colOff>526678</xdr:colOff>
      <xdr:row>5</xdr:row>
      <xdr:rowOff>56030</xdr:rowOff>
    </xdr:to>
    <xdr:sp macro="" textlink="">
      <xdr:nvSpPr>
        <xdr:cNvPr id="7" name="AutoShape 81"/>
        <xdr:cNvSpPr>
          <a:spLocks noChangeArrowheads="1"/>
        </xdr:cNvSpPr>
      </xdr:nvSpPr>
      <xdr:spPr bwMode="auto">
        <a:xfrm>
          <a:off x="10128437" y="637364"/>
          <a:ext cx="1906682" cy="550460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Районный фонд финансовой поддержки поселений</a:t>
          </a:r>
        </a:p>
      </xdr:txBody>
    </xdr:sp>
    <xdr:clientData/>
  </xdr:twoCellAnchor>
  <xdr:twoCellAnchor>
    <xdr:from>
      <xdr:col>13</xdr:col>
      <xdr:colOff>845485</xdr:colOff>
      <xdr:row>2</xdr:row>
      <xdr:rowOff>117411</xdr:rowOff>
    </xdr:from>
    <xdr:to>
      <xdr:col>15</xdr:col>
      <xdr:colOff>488578</xdr:colOff>
      <xdr:row>5</xdr:row>
      <xdr:rowOff>44824</xdr:rowOff>
    </xdr:to>
    <xdr:sp macro="" textlink="">
      <xdr:nvSpPr>
        <xdr:cNvPr id="4" name="AutoShape 81"/>
        <xdr:cNvSpPr>
          <a:spLocks noChangeArrowheads="1"/>
        </xdr:cNvSpPr>
      </xdr:nvSpPr>
      <xdr:spPr bwMode="auto">
        <a:xfrm>
          <a:off x="11468661" y="576852"/>
          <a:ext cx="1884270" cy="599766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Суммарный объем дотаций поселениям за счет субвенций из областного бюдежта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32</xdr:row>
      <xdr:rowOff>457200</xdr:rowOff>
    </xdr:from>
    <xdr:to>
      <xdr:col>2</xdr:col>
      <xdr:colOff>1076325</xdr:colOff>
      <xdr:row>33</xdr:row>
      <xdr:rowOff>85725</xdr:rowOff>
    </xdr:to>
    <xdr:sp macro="" textlink="">
      <xdr:nvSpPr>
        <xdr:cNvPr id="13" name="AutoShape 24"/>
        <xdr:cNvSpPr>
          <a:spLocks noChangeArrowheads="1"/>
        </xdr:cNvSpPr>
      </xdr:nvSpPr>
      <xdr:spPr bwMode="auto">
        <a:xfrm>
          <a:off x="2857500" y="6429375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32</xdr:row>
      <xdr:rowOff>447675</xdr:rowOff>
    </xdr:from>
    <xdr:to>
      <xdr:col>5</xdr:col>
      <xdr:colOff>0</xdr:colOff>
      <xdr:row>33</xdr:row>
      <xdr:rowOff>76200</xdr:rowOff>
    </xdr:to>
    <xdr:sp macro="" textlink="">
      <xdr:nvSpPr>
        <xdr:cNvPr id="14" name="AutoShape 25"/>
        <xdr:cNvSpPr>
          <a:spLocks noChangeArrowheads="1"/>
        </xdr:cNvSpPr>
      </xdr:nvSpPr>
      <xdr:spPr bwMode="auto">
        <a:xfrm>
          <a:off x="5124450" y="642937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723900</xdr:colOff>
      <xdr:row>32</xdr:row>
      <xdr:rowOff>457200</xdr:rowOff>
    </xdr:from>
    <xdr:to>
      <xdr:col>6</xdr:col>
      <xdr:colOff>914400</xdr:colOff>
      <xdr:row>33</xdr:row>
      <xdr:rowOff>85725</xdr:rowOff>
    </xdr:to>
    <xdr:sp macro="" textlink="">
      <xdr:nvSpPr>
        <xdr:cNvPr id="15" name="AutoShape 26"/>
        <xdr:cNvSpPr>
          <a:spLocks noChangeArrowheads="1"/>
        </xdr:cNvSpPr>
      </xdr:nvSpPr>
      <xdr:spPr bwMode="auto">
        <a:xfrm>
          <a:off x="6696075" y="6429375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723900</xdr:colOff>
      <xdr:row>32</xdr:row>
      <xdr:rowOff>447675</xdr:rowOff>
    </xdr:from>
    <xdr:to>
      <xdr:col>4</xdr:col>
      <xdr:colOff>914400</xdr:colOff>
      <xdr:row>33</xdr:row>
      <xdr:rowOff>76200</xdr:rowOff>
    </xdr:to>
    <xdr:sp macro="" textlink="">
      <xdr:nvSpPr>
        <xdr:cNvPr id="16" name="AutoShape 27"/>
        <xdr:cNvSpPr>
          <a:spLocks noChangeArrowheads="1"/>
        </xdr:cNvSpPr>
      </xdr:nvSpPr>
      <xdr:spPr bwMode="auto">
        <a:xfrm>
          <a:off x="4829175" y="6429375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914400</xdr:colOff>
      <xdr:row>32</xdr:row>
      <xdr:rowOff>352425</xdr:rowOff>
    </xdr:from>
    <xdr:to>
      <xdr:col>13</xdr:col>
      <xdr:colOff>1038225</xdr:colOff>
      <xdr:row>32</xdr:row>
      <xdr:rowOff>647700</xdr:rowOff>
    </xdr:to>
    <xdr:sp macro="" textlink="">
      <xdr:nvSpPr>
        <xdr:cNvPr id="17" name="AutoShape 28"/>
        <xdr:cNvSpPr>
          <a:spLocks noChangeArrowheads="1"/>
        </xdr:cNvSpPr>
      </xdr:nvSpPr>
      <xdr:spPr bwMode="auto">
        <a:xfrm>
          <a:off x="11382375" y="6429375"/>
          <a:ext cx="12382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885825</xdr:colOff>
      <xdr:row>32</xdr:row>
      <xdr:rowOff>457200</xdr:rowOff>
    </xdr:from>
    <xdr:to>
      <xdr:col>8</xdr:col>
      <xdr:colOff>1066800</xdr:colOff>
      <xdr:row>33</xdr:row>
      <xdr:rowOff>85725</xdr:rowOff>
    </xdr:to>
    <xdr:sp macro="" textlink="">
      <xdr:nvSpPr>
        <xdr:cNvPr id="18" name="AutoShape 29"/>
        <xdr:cNvSpPr>
          <a:spLocks noChangeArrowheads="1"/>
        </xdr:cNvSpPr>
      </xdr:nvSpPr>
      <xdr:spPr bwMode="auto">
        <a:xfrm>
          <a:off x="8734425" y="6429375"/>
          <a:ext cx="18097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32</xdr:row>
      <xdr:rowOff>457200</xdr:rowOff>
    </xdr:from>
    <xdr:to>
      <xdr:col>7</xdr:col>
      <xdr:colOff>0</xdr:colOff>
      <xdr:row>33</xdr:row>
      <xdr:rowOff>85725</xdr:rowOff>
    </xdr:to>
    <xdr:sp macro="" textlink="">
      <xdr:nvSpPr>
        <xdr:cNvPr id="19" name="AutoShape 30"/>
        <xdr:cNvSpPr>
          <a:spLocks noChangeArrowheads="1"/>
        </xdr:cNvSpPr>
      </xdr:nvSpPr>
      <xdr:spPr bwMode="auto">
        <a:xfrm>
          <a:off x="6829425" y="6429375"/>
          <a:ext cx="762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32</xdr:row>
      <xdr:rowOff>457200</xdr:rowOff>
    </xdr:from>
    <xdr:to>
      <xdr:col>7</xdr:col>
      <xdr:colOff>0</xdr:colOff>
      <xdr:row>33</xdr:row>
      <xdr:rowOff>85725</xdr:rowOff>
    </xdr:to>
    <xdr:sp macro="" textlink="">
      <xdr:nvSpPr>
        <xdr:cNvPr id="20" name="AutoShape 31"/>
        <xdr:cNvSpPr>
          <a:spLocks noChangeArrowheads="1"/>
        </xdr:cNvSpPr>
      </xdr:nvSpPr>
      <xdr:spPr bwMode="auto">
        <a:xfrm>
          <a:off x="6829425" y="6429375"/>
          <a:ext cx="762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981075</xdr:colOff>
      <xdr:row>32</xdr:row>
      <xdr:rowOff>504825</xdr:rowOff>
    </xdr:from>
    <xdr:to>
      <xdr:col>16</xdr:col>
      <xdr:colOff>1162050</xdr:colOff>
      <xdr:row>33</xdr:row>
      <xdr:rowOff>133350</xdr:rowOff>
    </xdr:to>
    <xdr:sp macro="" textlink="">
      <xdr:nvSpPr>
        <xdr:cNvPr id="21" name="AutoShape 32"/>
        <xdr:cNvSpPr>
          <a:spLocks noChangeArrowheads="1"/>
        </xdr:cNvSpPr>
      </xdr:nvSpPr>
      <xdr:spPr bwMode="auto">
        <a:xfrm>
          <a:off x="16049625" y="6429375"/>
          <a:ext cx="18097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971550</xdr:colOff>
      <xdr:row>32</xdr:row>
      <xdr:rowOff>504825</xdr:rowOff>
    </xdr:from>
    <xdr:to>
      <xdr:col>18</xdr:col>
      <xdr:colOff>1162050</xdr:colOff>
      <xdr:row>33</xdr:row>
      <xdr:rowOff>133350</xdr:rowOff>
    </xdr:to>
    <xdr:sp macro="" textlink="">
      <xdr:nvSpPr>
        <xdr:cNvPr id="22" name="AutoShape 33"/>
        <xdr:cNvSpPr>
          <a:spLocks noChangeArrowheads="1"/>
        </xdr:cNvSpPr>
      </xdr:nvSpPr>
      <xdr:spPr bwMode="auto">
        <a:xfrm>
          <a:off x="19535775" y="6429375"/>
          <a:ext cx="18097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981075</xdr:colOff>
      <xdr:row>32</xdr:row>
      <xdr:rowOff>504825</xdr:rowOff>
    </xdr:from>
    <xdr:to>
      <xdr:col>20</xdr:col>
      <xdr:colOff>1171575</xdr:colOff>
      <xdr:row>33</xdr:row>
      <xdr:rowOff>133350</xdr:rowOff>
    </xdr:to>
    <xdr:sp macro="" textlink="">
      <xdr:nvSpPr>
        <xdr:cNvPr id="23" name="AutoShape 34"/>
        <xdr:cNvSpPr>
          <a:spLocks noChangeArrowheads="1"/>
        </xdr:cNvSpPr>
      </xdr:nvSpPr>
      <xdr:spPr bwMode="auto">
        <a:xfrm>
          <a:off x="21583650" y="6429375"/>
          <a:ext cx="1524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32</xdr:row>
      <xdr:rowOff>457200</xdr:rowOff>
    </xdr:from>
    <xdr:to>
      <xdr:col>2</xdr:col>
      <xdr:colOff>1076325</xdr:colOff>
      <xdr:row>33</xdr:row>
      <xdr:rowOff>85725</xdr:rowOff>
    </xdr:to>
    <xdr:sp macro="" textlink="">
      <xdr:nvSpPr>
        <xdr:cNvPr id="24" name="AutoShape 35"/>
        <xdr:cNvSpPr>
          <a:spLocks noChangeArrowheads="1"/>
        </xdr:cNvSpPr>
      </xdr:nvSpPr>
      <xdr:spPr bwMode="auto">
        <a:xfrm>
          <a:off x="2857500" y="6429375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32</xdr:row>
      <xdr:rowOff>447675</xdr:rowOff>
    </xdr:from>
    <xdr:to>
      <xdr:col>5</xdr:col>
      <xdr:colOff>0</xdr:colOff>
      <xdr:row>33</xdr:row>
      <xdr:rowOff>76200</xdr:rowOff>
    </xdr:to>
    <xdr:sp macro="" textlink="">
      <xdr:nvSpPr>
        <xdr:cNvPr id="25" name="AutoShape 36"/>
        <xdr:cNvSpPr>
          <a:spLocks noChangeArrowheads="1"/>
        </xdr:cNvSpPr>
      </xdr:nvSpPr>
      <xdr:spPr bwMode="auto">
        <a:xfrm>
          <a:off x="5124450" y="642937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723900</xdr:colOff>
      <xdr:row>32</xdr:row>
      <xdr:rowOff>457200</xdr:rowOff>
    </xdr:from>
    <xdr:to>
      <xdr:col>6</xdr:col>
      <xdr:colOff>914400</xdr:colOff>
      <xdr:row>33</xdr:row>
      <xdr:rowOff>85725</xdr:rowOff>
    </xdr:to>
    <xdr:sp macro="" textlink="">
      <xdr:nvSpPr>
        <xdr:cNvPr id="26" name="AutoShape 37"/>
        <xdr:cNvSpPr>
          <a:spLocks noChangeArrowheads="1"/>
        </xdr:cNvSpPr>
      </xdr:nvSpPr>
      <xdr:spPr bwMode="auto">
        <a:xfrm>
          <a:off x="6696075" y="6429375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723900</xdr:colOff>
      <xdr:row>32</xdr:row>
      <xdr:rowOff>447675</xdr:rowOff>
    </xdr:from>
    <xdr:to>
      <xdr:col>4</xdr:col>
      <xdr:colOff>914400</xdr:colOff>
      <xdr:row>33</xdr:row>
      <xdr:rowOff>76200</xdr:rowOff>
    </xdr:to>
    <xdr:sp macro="" textlink="">
      <xdr:nvSpPr>
        <xdr:cNvPr id="27" name="AutoShape 38"/>
        <xdr:cNvSpPr>
          <a:spLocks noChangeArrowheads="1"/>
        </xdr:cNvSpPr>
      </xdr:nvSpPr>
      <xdr:spPr bwMode="auto">
        <a:xfrm>
          <a:off x="4829175" y="6429375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914400</xdr:colOff>
      <xdr:row>32</xdr:row>
      <xdr:rowOff>352425</xdr:rowOff>
    </xdr:from>
    <xdr:to>
      <xdr:col>13</xdr:col>
      <xdr:colOff>1038225</xdr:colOff>
      <xdr:row>32</xdr:row>
      <xdr:rowOff>666750</xdr:rowOff>
    </xdr:to>
    <xdr:sp macro="" textlink="">
      <xdr:nvSpPr>
        <xdr:cNvPr id="28" name="AutoShape 39"/>
        <xdr:cNvSpPr>
          <a:spLocks noChangeArrowheads="1"/>
        </xdr:cNvSpPr>
      </xdr:nvSpPr>
      <xdr:spPr bwMode="auto">
        <a:xfrm>
          <a:off x="11382375" y="6429375"/>
          <a:ext cx="12382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885825</xdr:colOff>
      <xdr:row>32</xdr:row>
      <xdr:rowOff>457200</xdr:rowOff>
    </xdr:from>
    <xdr:to>
      <xdr:col>8</xdr:col>
      <xdr:colOff>1066800</xdr:colOff>
      <xdr:row>33</xdr:row>
      <xdr:rowOff>85725</xdr:rowOff>
    </xdr:to>
    <xdr:sp macro="" textlink="">
      <xdr:nvSpPr>
        <xdr:cNvPr id="29" name="AutoShape 40"/>
        <xdr:cNvSpPr>
          <a:spLocks noChangeArrowheads="1"/>
        </xdr:cNvSpPr>
      </xdr:nvSpPr>
      <xdr:spPr bwMode="auto">
        <a:xfrm>
          <a:off x="8734425" y="6429375"/>
          <a:ext cx="18097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32</xdr:row>
      <xdr:rowOff>457200</xdr:rowOff>
    </xdr:from>
    <xdr:to>
      <xdr:col>7</xdr:col>
      <xdr:colOff>0</xdr:colOff>
      <xdr:row>33</xdr:row>
      <xdr:rowOff>85725</xdr:rowOff>
    </xdr:to>
    <xdr:sp macro="" textlink="">
      <xdr:nvSpPr>
        <xdr:cNvPr id="30" name="AutoShape 41"/>
        <xdr:cNvSpPr>
          <a:spLocks noChangeArrowheads="1"/>
        </xdr:cNvSpPr>
      </xdr:nvSpPr>
      <xdr:spPr bwMode="auto">
        <a:xfrm>
          <a:off x="6829425" y="6429375"/>
          <a:ext cx="762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32</xdr:row>
      <xdr:rowOff>457200</xdr:rowOff>
    </xdr:from>
    <xdr:to>
      <xdr:col>7</xdr:col>
      <xdr:colOff>0</xdr:colOff>
      <xdr:row>33</xdr:row>
      <xdr:rowOff>85725</xdr:rowOff>
    </xdr:to>
    <xdr:sp macro="" textlink="">
      <xdr:nvSpPr>
        <xdr:cNvPr id="31" name="AutoShape 42"/>
        <xdr:cNvSpPr>
          <a:spLocks noChangeArrowheads="1"/>
        </xdr:cNvSpPr>
      </xdr:nvSpPr>
      <xdr:spPr bwMode="auto">
        <a:xfrm>
          <a:off x="6829425" y="6429375"/>
          <a:ext cx="762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981075</xdr:colOff>
      <xdr:row>32</xdr:row>
      <xdr:rowOff>504825</xdr:rowOff>
    </xdr:from>
    <xdr:to>
      <xdr:col>16</xdr:col>
      <xdr:colOff>1162050</xdr:colOff>
      <xdr:row>33</xdr:row>
      <xdr:rowOff>133350</xdr:rowOff>
    </xdr:to>
    <xdr:sp macro="" textlink="">
      <xdr:nvSpPr>
        <xdr:cNvPr id="32" name="AutoShape 43"/>
        <xdr:cNvSpPr>
          <a:spLocks noChangeArrowheads="1"/>
        </xdr:cNvSpPr>
      </xdr:nvSpPr>
      <xdr:spPr bwMode="auto">
        <a:xfrm>
          <a:off x="16049625" y="6429375"/>
          <a:ext cx="18097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971550</xdr:colOff>
      <xdr:row>32</xdr:row>
      <xdr:rowOff>504825</xdr:rowOff>
    </xdr:from>
    <xdr:to>
      <xdr:col>18</xdr:col>
      <xdr:colOff>1162050</xdr:colOff>
      <xdr:row>33</xdr:row>
      <xdr:rowOff>133350</xdr:rowOff>
    </xdr:to>
    <xdr:sp macro="" textlink="">
      <xdr:nvSpPr>
        <xdr:cNvPr id="33" name="AutoShape 44"/>
        <xdr:cNvSpPr>
          <a:spLocks noChangeArrowheads="1"/>
        </xdr:cNvSpPr>
      </xdr:nvSpPr>
      <xdr:spPr bwMode="auto">
        <a:xfrm>
          <a:off x="19535775" y="6429375"/>
          <a:ext cx="18097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981075</xdr:colOff>
      <xdr:row>32</xdr:row>
      <xdr:rowOff>504825</xdr:rowOff>
    </xdr:from>
    <xdr:to>
      <xdr:col>20</xdr:col>
      <xdr:colOff>1171575</xdr:colOff>
      <xdr:row>33</xdr:row>
      <xdr:rowOff>133350</xdr:rowOff>
    </xdr:to>
    <xdr:sp macro="" textlink="">
      <xdr:nvSpPr>
        <xdr:cNvPr id="34" name="AutoShape 45"/>
        <xdr:cNvSpPr>
          <a:spLocks noChangeArrowheads="1"/>
        </xdr:cNvSpPr>
      </xdr:nvSpPr>
      <xdr:spPr bwMode="auto">
        <a:xfrm>
          <a:off x="21583650" y="6429375"/>
          <a:ext cx="1524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32</xdr:row>
      <xdr:rowOff>457200</xdr:rowOff>
    </xdr:from>
    <xdr:to>
      <xdr:col>2</xdr:col>
      <xdr:colOff>1076325</xdr:colOff>
      <xdr:row>33</xdr:row>
      <xdr:rowOff>85725</xdr:rowOff>
    </xdr:to>
    <xdr:sp macro="" textlink="">
      <xdr:nvSpPr>
        <xdr:cNvPr id="35" name="AutoShape 24"/>
        <xdr:cNvSpPr>
          <a:spLocks noChangeArrowheads="1"/>
        </xdr:cNvSpPr>
      </xdr:nvSpPr>
      <xdr:spPr bwMode="auto">
        <a:xfrm>
          <a:off x="2857500" y="6638925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32</xdr:row>
      <xdr:rowOff>447675</xdr:rowOff>
    </xdr:from>
    <xdr:to>
      <xdr:col>22</xdr:col>
      <xdr:colOff>0</xdr:colOff>
      <xdr:row>33</xdr:row>
      <xdr:rowOff>76200</xdr:rowOff>
    </xdr:to>
    <xdr:sp macro="" textlink="">
      <xdr:nvSpPr>
        <xdr:cNvPr id="36" name="AutoShape 25"/>
        <xdr:cNvSpPr>
          <a:spLocks noChangeArrowheads="1"/>
        </xdr:cNvSpPr>
      </xdr:nvSpPr>
      <xdr:spPr bwMode="auto">
        <a:xfrm>
          <a:off x="24412575" y="66389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32</xdr:row>
      <xdr:rowOff>457200</xdr:rowOff>
    </xdr:from>
    <xdr:to>
      <xdr:col>23</xdr:col>
      <xdr:colOff>914400</xdr:colOff>
      <xdr:row>33</xdr:row>
      <xdr:rowOff>85725</xdr:rowOff>
    </xdr:to>
    <xdr:sp macro="" textlink="">
      <xdr:nvSpPr>
        <xdr:cNvPr id="37" name="AutoShape 26"/>
        <xdr:cNvSpPr>
          <a:spLocks noChangeArrowheads="1"/>
        </xdr:cNvSpPr>
      </xdr:nvSpPr>
      <xdr:spPr bwMode="auto">
        <a:xfrm>
          <a:off x="26098500" y="6638925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32</xdr:row>
      <xdr:rowOff>447675</xdr:rowOff>
    </xdr:from>
    <xdr:to>
      <xdr:col>21</xdr:col>
      <xdr:colOff>914400</xdr:colOff>
      <xdr:row>33</xdr:row>
      <xdr:rowOff>76200</xdr:rowOff>
    </xdr:to>
    <xdr:sp macro="" textlink="">
      <xdr:nvSpPr>
        <xdr:cNvPr id="38" name="AutoShape 27"/>
        <xdr:cNvSpPr>
          <a:spLocks noChangeArrowheads="1"/>
        </xdr:cNvSpPr>
      </xdr:nvSpPr>
      <xdr:spPr bwMode="auto">
        <a:xfrm>
          <a:off x="24174450" y="6638925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32</xdr:row>
      <xdr:rowOff>352425</xdr:rowOff>
    </xdr:from>
    <xdr:to>
      <xdr:col>32</xdr:col>
      <xdr:colOff>1038225</xdr:colOff>
      <xdr:row>32</xdr:row>
      <xdr:rowOff>647700</xdr:rowOff>
    </xdr:to>
    <xdr:sp macro="" textlink="">
      <xdr:nvSpPr>
        <xdr:cNvPr id="39" name="AutoShape 28"/>
        <xdr:cNvSpPr>
          <a:spLocks noChangeArrowheads="1"/>
        </xdr:cNvSpPr>
      </xdr:nvSpPr>
      <xdr:spPr bwMode="auto">
        <a:xfrm>
          <a:off x="34709100" y="6638925"/>
          <a:ext cx="12382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32</xdr:row>
      <xdr:rowOff>457200</xdr:rowOff>
    </xdr:from>
    <xdr:to>
      <xdr:col>25</xdr:col>
      <xdr:colOff>1066800</xdr:colOff>
      <xdr:row>33</xdr:row>
      <xdr:rowOff>85725</xdr:rowOff>
    </xdr:to>
    <xdr:sp macro="" textlink="">
      <xdr:nvSpPr>
        <xdr:cNvPr id="40" name="AutoShape 29"/>
        <xdr:cNvSpPr>
          <a:spLocks noChangeArrowheads="1"/>
        </xdr:cNvSpPr>
      </xdr:nvSpPr>
      <xdr:spPr bwMode="auto">
        <a:xfrm>
          <a:off x="28184475" y="66389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32</xdr:row>
      <xdr:rowOff>457200</xdr:rowOff>
    </xdr:from>
    <xdr:to>
      <xdr:col>24</xdr:col>
      <xdr:colOff>0</xdr:colOff>
      <xdr:row>33</xdr:row>
      <xdr:rowOff>85725</xdr:rowOff>
    </xdr:to>
    <xdr:sp macro="" textlink="">
      <xdr:nvSpPr>
        <xdr:cNvPr id="41" name="AutoShape 30"/>
        <xdr:cNvSpPr>
          <a:spLocks noChangeArrowheads="1"/>
        </xdr:cNvSpPr>
      </xdr:nvSpPr>
      <xdr:spPr bwMode="auto">
        <a:xfrm>
          <a:off x="26336625" y="66389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32</xdr:row>
      <xdr:rowOff>457200</xdr:rowOff>
    </xdr:from>
    <xdr:to>
      <xdr:col>24</xdr:col>
      <xdr:colOff>0</xdr:colOff>
      <xdr:row>33</xdr:row>
      <xdr:rowOff>85725</xdr:rowOff>
    </xdr:to>
    <xdr:sp macro="" textlink="">
      <xdr:nvSpPr>
        <xdr:cNvPr id="42" name="AutoShape 31"/>
        <xdr:cNvSpPr>
          <a:spLocks noChangeArrowheads="1"/>
        </xdr:cNvSpPr>
      </xdr:nvSpPr>
      <xdr:spPr bwMode="auto">
        <a:xfrm>
          <a:off x="26336625" y="66389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32</xdr:row>
      <xdr:rowOff>504825</xdr:rowOff>
    </xdr:from>
    <xdr:to>
      <xdr:col>39</xdr:col>
      <xdr:colOff>1162050</xdr:colOff>
      <xdr:row>33</xdr:row>
      <xdr:rowOff>133350</xdr:rowOff>
    </xdr:to>
    <xdr:sp macro="" textlink="">
      <xdr:nvSpPr>
        <xdr:cNvPr id="43" name="AutoShape 32"/>
        <xdr:cNvSpPr>
          <a:spLocks noChangeArrowheads="1"/>
        </xdr:cNvSpPr>
      </xdr:nvSpPr>
      <xdr:spPr bwMode="auto">
        <a:xfrm>
          <a:off x="42090975" y="66389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32</xdr:row>
      <xdr:rowOff>457200</xdr:rowOff>
    </xdr:from>
    <xdr:to>
      <xdr:col>2</xdr:col>
      <xdr:colOff>1076325</xdr:colOff>
      <xdr:row>33</xdr:row>
      <xdr:rowOff>85725</xdr:rowOff>
    </xdr:to>
    <xdr:sp macro="" textlink="">
      <xdr:nvSpPr>
        <xdr:cNvPr id="44" name="AutoShape 35"/>
        <xdr:cNvSpPr>
          <a:spLocks noChangeArrowheads="1"/>
        </xdr:cNvSpPr>
      </xdr:nvSpPr>
      <xdr:spPr bwMode="auto">
        <a:xfrm>
          <a:off x="2857500" y="6638925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32</xdr:row>
      <xdr:rowOff>447675</xdr:rowOff>
    </xdr:from>
    <xdr:to>
      <xdr:col>22</xdr:col>
      <xdr:colOff>0</xdr:colOff>
      <xdr:row>33</xdr:row>
      <xdr:rowOff>76200</xdr:rowOff>
    </xdr:to>
    <xdr:sp macro="" textlink="">
      <xdr:nvSpPr>
        <xdr:cNvPr id="45" name="AutoShape 36"/>
        <xdr:cNvSpPr>
          <a:spLocks noChangeArrowheads="1"/>
        </xdr:cNvSpPr>
      </xdr:nvSpPr>
      <xdr:spPr bwMode="auto">
        <a:xfrm>
          <a:off x="24412575" y="66389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32</xdr:row>
      <xdr:rowOff>457200</xdr:rowOff>
    </xdr:from>
    <xdr:to>
      <xdr:col>23</xdr:col>
      <xdr:colOff>914400</xdr:colOff>
      <xdr:row>33</xdr:row>
      <xdr:rowOff>85725</xdr:rowOff>
    </xdr:to>
    <xdr:sp macro="" textlink="">
      <xdr:nvSpPr>
        <xdr:cNvPr id="46" name="AutoShape 37"/>
        <xdr:cNvSpPr>
          <a:spLocks noChangeArrowheads="1"/>
        </xdr:cNvSpPr>
      </xdr:nvSpPr>
      <xdr:spPr bwMode="auto">
        <a:xfrm>
          <a:off x="26098500" y="6638925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32</xdr:row>
      <xdr:rowOff>447675</xdr:rowOff>
    </xdr:from>
    <xdr:to>
      <xdr:col>21</xdr:col>
      <xdr:colOff>914400</xdr:colOff>
      <xdr:row>33</xdr:row>
      <xdr:rowOff>76200</xdr:rowOff>
    </xdr:to>
    <xdr:sp macro="" textlink="">
      <xdr:nvSpPr>
        <xdr:cNvPr id="47" name="AutoShape 38"/>
        <xdr:cNvSpPr>
          <a:spLocks noChangeArrowheads="1"/>
        </xdr:cNvSpPr>
      </xdr:nvSpPr>
      <xdr:spPr bwMode="auto">
        <a:xfrm>
          <a:off x="24174450" y="6638925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32</xdr:row>
      <xdr:rowOff>352425</xdr:rowOff>
    </xdr:from>
    <xdr:to>
      <xdr:col>32</xdr:col>
      <xdr:colOff>1038225</xdr:colOff>
      <xdr:row>32</xdr:row>
      <xdr:rowOff>666750</xdr:rowOff>
    </xdr:to>
    <xdr:sp macro="" textlink="">
      <xdr:nvSpPr>
        <xdr:cNvPr id="48" name="AutoShape 39"/>
        <xdr:cNvSpPr>
          <a:spLocks noChangeArrowheads="1"/>
        </xdr:cNvSpPr>
      </xdr:nvSpPr>
      <xdr:spPr bwMode="auto">
        <a:xfrm>
          <a:off x="34709100" y="6638925"/>
          <a:ext cx="12382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32</xdr:row>
      <xdr:rowOff>457200</xdr:rowOff>
    </xdr:from>
    <xdr:to>
      <xdr:col>25</xdr:col>
      <xdr:colOff>1066800</xdr:colOff>
      <xdr:row>33</xdr:row>
      <xdr:rowOff>85725</xdr:rowOff>
    </xdr:to>
    <xdr:sp macro="" textlink="">
      <xdr:nvSpPr>
        <xdr:cNvPr id="49" name="AutoShape 40"/>
        <xdr:cNvSpPr>
          <a:spLocks noChangeArrowheads="1"/>
        </xdr:cNvSpPr>
      </xdr:nvSpPr>
      <xdr:spPr bwMode="auto">
        <a:xfrm>
          <a:off x="28184475" y="66389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32</xdr:row>
      <xdr:rowOff>457200</xdr:rowOff>
    </xdr:from>
    <xdr:to>
      <xdr:col>24</xdr:col>
      <xdr:colOff>0</xdr:colOff>
      <xdr:row>33</xdr:row>
      <xdr:rowOff>85725</xdr:rowOff>
    </xdr:to>
    <xdr:sp macro="" textlink="">
      <xdr:nvSpPr>
        <xdr:cNvPr id="50" name="AutoShape 41"/>
        <xdr:cNvSpPr>
          <a:spLocks noChangeArrowheads="1"/>
        </xdr:cNvSpPr>
      </xdr:nvSpPr>
      <xdr:spPr bwMode="auto">
        <a:xfrm>
          <a:off x="26336625" y="66389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32</xdr:row>
      <xdr:rowOff>457200</xdr:rowOff>
    </xdr:from>
    <xdr:to>
      <xdr:col>24</xdr:col>
      <xdr:colOff>0</xdr:colOff>
      <xdr:row>33</xdr:row>
      <xdr:rowOff>85725</xdr:rowOff>
    </xdr:to>
    <xdr:sp macro="" textlink="">
      <xdr:nvSpPr>
        <xdr:cNvPr id="51" name="AutoShape 42"/>
        <xdr:cNvSpPr>
          <a:spLocks noChangeArrowheads="1"/>
        </xdr:cNvSpPr>
      </xdr:nvSpPr>
      <xdr:spPr bwMode="auto">
        <a:xfrm>
          <a:off x="26336625" y="66389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32</xdr:row>
      <xdr:rowOff>504825</xdr:rowOff>
    </xdr:from>
    <xdr:to>
      <xdr:col>39</xdr:col>
      <xdr:colOff>1162050</xdr:colOff>
      <xdr:row>33</xdr:row>
      <xdr:rowOff>133350</xdr:rowOff>
    </xdr:to>
    <xdr:sp macro="" textlink="">
      <xdr:nvSpPr>
        <xdr:cNvPr id="52" name="AutoShape 43"/>
        <xdr:cNvSpPr>
          <a:spLocks noChangeArrowheads="1"/>
        </xdr:cNvSpPr>
      </xdr:nvSpPr>
      <xdr:spPr bwMode="auto">
        <a:xfrm>
          <a:off x="42090975" y="66389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32</xdr:row>
      <xdr:rowOff>352425</xdr:rowOff>
    </xdr:from>
    <xdr:to>
      <xdr:col>35</xdr:col>
      <xdr:colOff>1038225</xdr:colOff>
      <xdr:row>32</xdr:row>
      <xdr:rowOff>647700</xdr:rowOff>
    </xdr:to>
    <xdr:sp macro="" textlink="">
      <xdr:nvSpPr>
        <xdr:cNvPr id="53" name="AutoShape 28"/>
        <xdr:cNvSpPr>
          <a:spLocks noChangeArrowheads="1"/>
        </xdr:cNvSpPr>
      </xdr:nvSpPr>
      <xdr:spPr bwMode="auto">
        <a:xfrm>
          <a:off x="37861875" y="6638925"/>
          <a:ext cx="12382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32</xdr:row>
      <xdr:rowOff>352425</xdr:rowOff>
    </xdr:from>
    <xdr:to>
      <xdr:col>35</xdr:col>
      <xdr:colOff>1038225</xdr:colOff>
      <xdr:row>32</xdr:row>
      <xdr:rowOff>666750</xdr:rowOff>
    </xdr:to>
    <xdr:sp macro="" textlink="">
      <xdr:nvSpPr>
        <xdr:cNvPr id="54" name="AutoShape 39"/>
        <xdr:cNvSpPr>
          <a:spLocks noChangeArrowheads="1"/>
        </xdr:cNvSpPr>
      </xdr:nvSpPr>
      <xdr:spPr bwMode="auto">
        <a:xfrm>
          <a:off x="37861875" y="6638925"/>
          <a:ext cx="12382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32</xdr:row>
      <xdr:rowOff>457200</xdr:rowOff>
    </xdr:from>
    <xdr:to>
      <xdr:col>2</xdr:col>
      <xdr:colOff>1076325</xdr:colOff>
      <xdr:row>33</xdr:row>
      <xdr:rowOff>85725</xdr:rowOff>
    </xdr:to>
    <xdr:sp macro="" textlink="">
      <xdr:nvSpPr>
        <xdr:cNvPr id="55" name="AutoShape 24"/>
        <xdr:cNvSpPr>
          <a:spLocks noChangeArrowheads="1"/>
        </xdr:cNvSpPr>
      </xdr:nvSpPr>
      <xdr:spPr bwMode="auto">
        <a:xfrm>
          <a:off x="2857500" y="6610350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32</xdr:row>
      <xdr:rowOff>447675</xdr:rowOff>
    </xdr:from>
    <xdr:to>
      <xdr:col>22</xdr:col>
      <xdr:colOff>0</xdr:colOff>
      <xdr:row>33</xdr:row>
      <xdr:rowOff>76200</xdr:rowOff>
    </xdr:to>
    <xdr:sp macro="" textlink="">
      <xdr:nvSpPr>
        <xdr:cNvPr id="56" name="AutoShape 25"/>
        <xdr:cNvSpPr>
          <a:spLocks noChangeArrowheads="1"/>
        </xdr:cNvSpPr>
      </xdr:nvSpPr>
      <xdr:spPr bwMode="auto">
        <a:xfrm>
          <a:off x="24412575" y="66103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32</xdr:row>
      <xdr:rowOff>457200</xdr:rowOff>
    </xdr:from>
    <xdr:to>
      <xdr:col>23</xdr:col>
      <xdr:colOff>914400</xdr:colOff>
      <xdr:row>33</xdr:row>
      <xdr:rowOff>85725</xdr:rowOff>
    </xdr:to>
    <xdr:sp macro="" textlink="">
      <xdr:nvSpPr>
        <xdr:cNvPr id="57" name="AutoShape 26"/>
        <xdr:cNvSpPr>
          <a:spLocks noChangeArrowheads="1"/>
        </xdr:cNvSpPr>
      </xdr:nvSpPr>
      <xdr:spPr bwMode="auto">
        <a:xfrm>
          <a:off x="26098500" y="6610350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32</xdr:row>
      <xdr:rowOff>447675</xdr:rowOff>
    </xdr:from>
    <xdr:to>
      <xdr:col>21</xdr:col>
      <xdr:colOff>914400</xdr:colOff>
      <xdr:row>33</xdr:row>
      <xdr:rowOff>76200</xdr:rowOff>
    </xdr:to>
    <xdr:sp macro="" textlink="">
      <xdr:nvSpPr>
        <xdr:cNvPr id="58" name="AutoShape 27"/>
        <xdr:cNvSpPr>
          <a:spLocks noChangeArrowheads="1"/>
        </xdr:cNvSpPr>
      </xdr:nvSpPr>
      <xdr:spPr bwMode="auto">
        <a:xfrm>
          <a:off x="24174450" y="6610350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32</xdr:row>
      <xdr:rowOff>352425</xdr:rowOff>
    </xdr:from>
    <xdr:to>
      <xdr:col>32</xdr:col>
      <xdr:colOff>1038225</xdr:colOff>
      <xdr:row>32</xdr:row>
      <xdr:rowOff>647700</xdr:rowOff>
    </xdr:to>
    <xdr:sp macro="" textlink="">
      <xdr:nvSpPr>
        <xdr:cNvPr id="59" name="AutoShape 28"/>
        <xdr:cNvSpPr>
          <a:spLocks noChangeArrowheads="1"/>
        </xdr:cNvSpPr>
      </xdr:nvSpPr>
      <xdr:spPr bwMode="auto">
        <a:xfrm>
          <a:off x="34709100" y="6610350"/>
          <a:ext cx="12382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32</xdr:row>
      <xdr:rowOff>457200</xdr:rowOff>
    </xdr:from>
    <xdr:to>
      <xdr:col>25</xdr:col>
      <xdr:colOff>1066800</xdr:colOff>
      <xdr:row>33</xdr:row>
      <xdr:rowOff>85725</xdr:rowOff>
    </xdr:to>
    <xdr:sp macro="" textlink="">
      <xdr:nvSpPr>
        <xdr:cNvPr id="60" name="AutoShape 29"/>
        <xdr:cNvSpPr>
          <a:spLocks noChangeArrowheads="1"/>
        </xdr:cNvSpPr>
      </xdr:nvSpPr>
      <xdr:spPr bwMode="auto">
        <a:xfrm>
          <a:off x="28184475" y="6610350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32</xdr:row>
      <xdr:rowOff>457200</xdr:rowOff>
    </xdr:from>
    <xdr:to>
      <xdr:col>24</xdr:col>
      <xdr:colOff>0</xdr:colOff>
      <xdr:row>33</xdr:row>
      <xdr:rowOff>85725</xdr:rowOff>
    </xdr:to>
    <xdr:sp macro="" textlink="">
      <xdr:nvSpPr>
        <xdr:cNvPr id="61" name="AutoShape 30"/>
        <xdr:cNvSpPr>
          <a:spLocks noChangeArrowheads="1"/>
        </xdr:cNvSpPr>
      </xdr:nvSpPr>
      <xdr:spPr bwMode="auto">
        <a:xfrm>
          <a:off x="26336625" y="66103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32</xdr:row>
      <xdr:rowOff>457200</xdr:rowOff>
    </xdr:from>
    <xdr:to>
      <xdr:col>24</xdr:col>
      <xdr:colOff>0</xdr:colOff>
      <xdr:row>33</xdr:row>
      <xdr:rowOff>85725</xdr:rowOff>
    </xdr:to>
    <xdr:sp macro="" textlink="">
      <xdr:nvSpPr>
        <xdr:cNvPr id="62" name="AutoShape 31"/>
        <xdr:cNvSpPr>
          <a:spLocks noChangeArrowheads="1"/>
        </xdr:cNvSpPr>
      </xdr:nvSpPr>
      <xdr:spPr bwMode="auto">
        <a:xfrm>
          <a:off x="26336625" y="66103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32</xdr:row>
      <xdr:rowOff>504825</xdr:rowOff>
    </xdr:from>
    <xdr:to>
      <xdr:col>39</xdr:col>
      <xdr:colOff>1162050</xdr:colOff>
      <xdr:row>33</xdr:row>
      <xdr:rowOff>133350</xdr:rowOff>
    </xdr:to>
    <xdr:sp macro="" textlink="">
      <xdr:nvSpPr>
        <xdr:cNvPr id="63" name="AutoShape 32"/>
        <xdr:cNvSpPr>
          <a:spLocks noChangeArrowheads="1"/>
        </xdr:cNvSpPr>
      </xdr:nvSpPr>
      <xdr:spPr bwMode="auto">
        <a:xfrm>
          <a:off x="42090975" y="66103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32</xdr:row>
      <xdr:rowOff>457200</xdr:rowOff>
    </xdr:from>
    <xdr:to>
      <xdr:col>2</xdr:col>
      <xdr:colOff>1076325</xdr:colOff>
      <xdr:row>33</xdr:row>
      <xdr:rowOff>85725</xdr:rowOff>
    </xdr:to>
    <xdr:sp macro="" textlink="">
      <xdr:nvSpPr>
        <xdr:cNvPr id="64" name="AutoShape 35"/>
        <xdr:cNvSpPr>
          <a:spLocks noChangeArrowheads="1"/>
        </xdr:cNvSpPr>
      </xdr:nvSpPr>
      <xdr:spPr bwMode="auto">
        <a:xfrm>
          <a:off x="2857500" y="6610350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32</xdr:row>
      <xdr:rowOff>447675</xdr:rowOff>
    </xdr:from>
    <xdr:to>
      <xdr:col>22</xdr:col>
      <xdr:colOff>0</xdr:colOff>
      <xdr:row>33</xdr:row>
      <xdr:rowOff>76200</xdr:rowOff>
    </xdr:to>
    <xdr:sp macro="" textlink="">
      <xdr:nvSpPr>
        <xdr:cNvPr id="65" name="AutoShape 36"/>
        <xdr:cNvSpPr>
          <a:spLocks noChangeArrowheads="1"/>
        </xdr:cNvSpPr>
      </xdr:nvSpPr>
      <xdr:spPr bwMode="auto">
        <a:xfrm>
          <a:off x="24412575" y="66103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32</xdr:row>
      <xdr:rowOff>457200</xdr:rowOff>
    </xdr:from>
    <xdr:to>
      <xdr:col>23</xdr:col>
      <xdr:colOff>914400</xdr:colOff>
      <xdr:row>33</xdr:row>
      <xdr:rowOff>85725</xdr:rowOff>
    </xdr:to>
    <xdr:sp macro="" textlink="">
      <xdr:nvSpPr>
        <xdr:cNvPr id="66" name="AutoShape 37"/>
        <xdr:cNvSpPr>
          <a:spLocks noChangeArrowheads="1"/>
        </xdr:cNvSpPr>
      </xdr:nvSpPr>
      <xdr:spPr bwMode="auto">
        <a:xfrm>
          <a:off x="26098500" y="6610350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32</xdr:row>
      <xdr:rowOff>447675</xdr:rowOff>
    </xdr:from>
    <xdr:to>
      <xdr:col>21</xdr:col>
      <xdr:colOff>914400</xdr:colOff>
      <xdr:row>33</xdr:row>
      <xdr:rowOff>76200</xdr:rowOff>
    </xdr:to>
    <xdr:sp macro="" textlink="">
      <xdr:nvSpPr>
        <xdr:cNvPr id="67" name="AutoShape 38"/>
        <xdr:cNvSpPr>
          <a:spLocks noChangeArrowheads="1"/>
        </xdr:cNvSpPr>
      </xdr:nvSpPr>
      <xdr:spPr bwMode="auto">
        <a:xfrm>
          <a:off x="24174450" y="6610350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32</xdr:row>
      <xdr:rowOff>352425</xdr:rowOff>
    </xdr:from>
    <xdr:to>
      <xdr:col>32</xdr:col>
      <xdr:colOff>1038225</xdr:colOff>
      <xdr:row>32</xdr:row>
      <xdr:rowOff>666750</xdr:rowOff>
    </xdr:to>
    <xdr:sp macro="" textlink="">
      <xdr:nvSpPr>
        <xdr:cNvPr id="68" name="AutoShape 39"/>
        <xdr:cNvSpPr>
          <a:spLocks noChangeArrowheads="1"/>
        </xdr:cNvSpPr>
      </xdr:nvSpPr>
      <xdr:spPr bwMode="auto">
        <a:xfrm>
          <a:off x="34709100" y="6610350"/>
          <a:ext cx="12382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32</xdr:row>
      <xdr:rowOff>457200</xdr:rowOff>
    </xdr:from>
    <xdr:to>
      <xdr:col>25</xdr:col>
      <xdr:colOff>1066800</xdr:colOff>
      <xdr:row>33</xdr:row>
      <xdr:rowOff>85725</xdr:rowOff>
    </xdr:to>
    <xdr:sp macro="" textlink="">
      <xdr:nvSpPr>
        <xdr:cNvPr id="69" name="AutoShape 40"/>
        <xdr:cNvSpPr>
          <a:spLocks noChangeArrowheads="1"/>
        </xdr:cNvSpPr>
      </xdr:nvSpPr>
      <xdr:spPr bwMode="auto">
        <a:xfrm>
          <a:off x="28184475" y="6610350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32</xdr:row>
      <xdr:rowOff>457200</xdr:rowOff>
    </xdr:from>
    <xdr:to>
      <xdr:col>24</xdr:col>
      <xdr:colOff>0</xdr:colOff>
      <xdr:row>33</xdr:row>
      <xdr:rowOff>85725</xdr:rowOff>
    </xdr:to>
    <xdr:sp macro="" textlink="">
      <xdr:nvSpPr>
        <xdr:cNvPr id="70" name="AutoShape 41"/>
        <xdr:cNvSpPr>
          <a:spLocks noChangeArrowheads="1"/>
        </xdr:cNvSpPr>
      </xdr:nvSpPr>
      <xdr:spPr bwMode="auto">
        <a:xfrm>
          <a:off x="26336625" y="66103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32</xdr:row>
      <xdr:rowOff>457200</xdr:rowOff>
    </xdr:from>
    <xdr:to>
      <xdr:col>24</xdr:col>
      <xdr:colOff>0</xdr:colOff>
      <xdr:row>33</xdr:row>
      <xdr:rowOff>85725</xdr:rowOff>
    </xdr:to>
    <xdr:sp macro="" textlink="">
      <xdr:nvSpPr>
        <xdr:cNvPr id="71" name="AutoShape 42"/>
        <xdr:cNvSpPr>
          <a:spLocks noChangeArrowheads="1"/>
        </xdr:cNvSpPr>
      </xdr:nvSpPr>
      <xdr:spPr bwMode="auto">
        <a:xfrm>
          <a:off x="26336625" y="66103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32</xdr:row>
      <xdr:rowOff>504825</xdr:rowOff>
    </xdr:from>
    <xdr:to>
      <xdr:col>39</xdr:col>
      <xdr:colOff>1162050</xdr:colOff>
      <xdr:row>33</xdr:row>
      <xdr:rowOff>133350</xdr:rowOff>
    </xdr:to>
    <xdr:sp macro="" textlink="">
      <xdr:nvSpPr>
        <xdr:cNvPr id="72" name="AutoShape 43"/>
        <xdr:cNvSpPr>
          <a:spLocks noChangeArrowheads="1"/>
        </xdr:cNvSpPr>
      </xdr:nvSpPr>
      <xdr:spPr bwMode="auto">
        <a:xfrm>
          <a:off x="42090975" y="66103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32</xdr:row>
      <xdr:rowOff>352425</xdr:rowOff>
    </xdr:from>
    <xdr:to>
      <xdr:col>35</xdr:col>
      <xdr:colOff>1038225</xdr:colOff>
      <xdr:row>32</xdr:row>
      <xdr:rowOff>647700</xdr:rowOff>
    </xdr:to>
    <xdr:sp macro="" textlink="">
      <xdr:nvSpPr>
        <xdr:cNvPr id="73" name="AutoShape 28"/>
        <xdr:cNvSpPr>
          <a:spLocks noChangeArrowheads="1"/>
        </xdr:cNvSpPr>
      </xdr:nvSpPr>
      <xdr:spPr bwMode="auto">
        <a:xfrm>
          <a:off x="37861875" y="6610350"/>
          <a:ext cx="12382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32</xdr:row>
      <xdr:rowOff>352425</xdr:rowOff>
    </xdr:from>
    <xdr:to>
      <xdr:col>35</xdr:col>
      <xdr:colOff>1038225</xdr:colOff>
      <xdr:row>32</xdr:row>
      <xdr:rowOff>666750</xdr:rowOff>
    </xdr:to>
    <xdr:sp macro="" textlink="">
      <xdr:nvSpPr>
        <xdr:cNvPr id="74" name="AutoShape 39"/>
        <xdr:cNvSpPr>
          <a:spLocks noChangeArrowheads="1"/>
        </xdr:cNvSpPr>
      </xdr:nvSpPr>
      <xdr:spPr bwMode="auto">
        <a:xfrm>
          <a:off x="37861875" y="6610350"/>
          <a:ext cx="12382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505239</xdr:colOff>
      <xdr:row>2</xdr:row>
      <xdr:rowOff>115958</xdr:rowOff>
    </xdr:from>
    <xdr:to>
      <xdr:col>12</xdr:col>
      <xdr:colOff>829278</xdr:colOff>
      <xdr:row>5</xdr:row>
      <xdr:rowOff>190500</xdr:rowOff>
    </xdr:to>
    <xdr:sp macro="" textlink="">
      <xdr:nvSpPr>
        <xdr:cNvPr id="3" name="AutoShape 81"/>
        <xdr:cNvSpPr>
          <a:spLocks noChangeArrowheads="1"/>
        </xdr:cNvSpPr>
      </xdr:nvSpPr>
      <xdr:spPr bwMode="auto">
        <a:xfrm>
          <a:off x="10046804" y="571501"/>
          <a:ext cx="2460952" cy="720586"/>
        </a:xfrm>
        <a:prstGeom prst="wedgeRoundRectCallout">
          <a:avLst>
            <a:gd name="adj1" fmla="val 27732"/>
            <a:gd name="adj2" fmla="val -6500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иных дотаций </a:t>
          </a:r>
          <a:r>
            <a:rPr lang="en-US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[</a:t>
          </a: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или иных МБТ</a:t>
          </a:r>
          <a:r>
            <a:rPr lang="en-US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]</a:t>
          </a: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 из бюджета муниципального района на поддержку мер по обеспечению сбалансированности бюджетов поселений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G29"/>
  <sheetViews>
    <sheetView topLeftCell="A7" zoomScaleNormal="100" zoomScaleSheetLayoutView="85" workbookViewId="0">
      <selection activeCell="O3" sqref="O3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4.1640625" style="1" customWidth="1"/>
    <col min="6" max="6" width="20.6640625" style="1" customWidth="1"/>
    <col min="7" max="7" width="18.1640625" style="1" customWidth="1"/>
    <col min="8" max="8" width="19.6640625" style="1" customWidth="1"/>
    <col min="9" max="9" width="12.83203125" style="1" customWidth="1"/>
    <col min="10" max="10" width="19.1640625" style="1" customWidth="1"/>
    <col min="11" max="11" width="16" style="1" customWidth="1"/>
    <col min="12" max="12" width="14.6640625" style="1" customWidth="1"/>
    <col min="13" max="13" width="22.83203125" style="1" customWidth="1"/>
    <col min="14" max="14" width="19.1640625" style="1" customWidth="1"/>
    <col min="15" max="15" width="20" style="1" customWidth="1"/>
    <col min="16" max="16" width="18.33203125" style="1" customWidth="1"/>
    <col min="17" max="17" width="14.6640625" style="7" customWidth="1"/>
    <col min="18" max="33" width="8.83203125" style="7"/>
    <col min="34" max="16384" width="8.83203125" style="1"/>
  </cols>
  <sheetData>
    <row r="1" spans="1:33" s="81" customFormat="1" ht="18.75" x14ac:dyDescent="0.3">
      <c r="A1" s="78"/>
      <c r="B1" s="79"/>
      <c r="C1" s="80"/>
      <c r="L1" s="82"/>
      <c r="O1" s="84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s="81" customFormat="1" ht="17.649999999999999" customHeight="1" x14ac:dyDescent="0.35">
      <c r="A2" s="167">
        <f ca="1">NOW()</f>
        <v>43719.475103588004</v>
      </c>
      <c r="B2" s="167"/>
      <c r="C2" s="110" t="s">
        <v>95</v>
      </c>
      <c r="D2" s="108"/>
      <c r="E2" s="108"/>
      <c r="F2" s="108"/>
      <c r="G2" s="108"/>
      <c r="H2" s="108"/>
      <c r="I2" s="108"/>
      <c r="J2" s="86"/>
      <c r="K2" s="87">
        <f>(F27+O2+M2)/(F27+O2)</f>
        <v>1.0199</v>
      </c>
      <c r="L2" s="86"/>
      <c r="M2" s="88">
        <v>2500</v>
      </c>
      <c r="N2" s="89"/>
      <c r="O2" s="88">
        <v>2395</v>
      </c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s="81" customFormat="1" ht="17.649999999999999" customHeight="1" x14ac:dyDescent="0.35">
      <c r="A3" s="106"/>
      <c r="B3" s="106"/>
      <c r="C3" s="110" t="s">
        <v>96</v>
      </c>
      <c r="D3" s="108"/>
      <c r="E3" s="108"/>
      <c r="F3" s="108"/>
      <c r="G3" s="108"/>
      <c r="H3" s="108"/>
      <c r="I3" s="108"/>
      <c r="J3" s="86"/>
      <c r="K3" s="85"/>
      <c r="L3" s="85"/>
      <c r="M3" s="85"/>
      <c r="N3" s="89"/>
      <c r="O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81" customFormat="1" ht="17.649999999999999" customHeight="1" x14ac:dyDescent="0.35">
      <c r="A4" s="106"/>
      <c r="B4" s="106"/>
      <c r="C4" s="110" t="s">
        <v>171</v>
      </c>
      <c r="D4" s="108"/>
      <c r="E4" s="108"/>
      <c r="F4" s="108"/>
      <c r="G4" s="108"/>
      <c r="H4" s="108"/>
      <c r="I4" s="108"/>
      <c r="J4" s="86"/>
      <c r="K4" s="85"/>
      <c r="L4" s="85"/>
      <c r="M4" s="85"/>
      <c r="N4" s="89"/>
      <c r="O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33" s="81" customFormat="1" ht="17.649999999999999" customHeight="1" x14ac:dyDescent="0.35">
      <c r="A5" s="106"/>
      <c r="B5" s="106"/>
      <c r="C5" s="110" t="s">
        <v>104</v>
      </c>
      <c r="D5" s="108"/>
      <c r="E5" s="108"/>
      <c r="F5" s="108"/>
      <c r="G5" s="108"/>
      <c r="H5" s="108"/>
      <c r="I5" s="108"/>
      <c r="J5" s="86"/>
      <c r="K5" s="85"/>
      <c r="L5" s="85"/>
      <c r="M5" s="85"/>
      <c r="N5" s="89"/>
      <c r="O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3" s="81" customFormat="1" ht="15.75" customHeight="1" x14ac:dyDescent="0.25">
      <c r="A6" s="2" t="s">
        <v>7</v>
      </c>
      <c r="B6" s="2"/>
      <c r="C6" s="109"/>
      <c r="D6" s="109"/>
      <c r="E6" s="109"/>
      <c r="F6" s="109"/>
      <c r="G6" s="109"/>
      <c r="H6" s="109"/>
      <c r="I6" s="109"/>
      <c r="J6" s="90"/>
      <c r="K6" s="85"/>
      <c r="L6" s="90"/>
      <c r="M6" s="90"/>
      <c r="N6" s="90"/>
      <c r="O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3" s="81" customFormat="1" ht="13.15" customHeight="1" x14ac:dyDescent="0.2">
      <c r="A7" s="168" t="s">
        <v>1</v>
      </c>
      <c r="B7" s="168" t="s">
        <v>2</v>
      </c>
      <c r="C7" s="169" t="s">
        <v>188</v>
      </c>
      <c r="D7" s="168" t="s">
        <v>3</v>
      </c>
      <c r="E7" s="168" t="s">
        <v>19</v>
      </c>
      <c r="F7" s="168" t="s">
        <v>17</v>
      </c>
      <c r="G7" s="168" t="s">
        <v>110</v>
      </c>
      <c r="H7" s="166" t="s">
        <v>20</v>
      </c>
      <c r="I7" s="168" t="s">
        <v>16</v>
      </c>
      <c r="J7" s="168" t="s">
        <v>98</v>
      </c>
      <c r="K7" s="168" t="s">
        <v>18</v>
      </c>
      <c r="L7" s="168" t="s">
        <v>97</v>
      </c>
      <c r="M7" s="10">
        <v>1</v>
      </c>
      <c r="N7" s="168" t="s">
        <v>108</v>
      </c>
      <c r="O7" s="166" t="s">
        <v>106</v>
      </c>
      <c r="P7" s="166" t="s">
        <v>107</v>
      </c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</row>
    <row r="8" spans="1:33" s="81" customFormat="1" ht="13.15" customHeight="1" x14ac:dyDescent="0.2">
      <c r="A8" s="168"/>
      <c r="B8" s="168"/>
      <c r="C8" s="169"/>
      <c r="D8" s="168"/>
      <c r="E8" s="168"/>
      <c r="F8" s="168"/>
      <c r="G8" s="168"/>
      <c r="H8" s="166"/>
      <c r="I8" s="168"/>
      <c r="J8" s="168"/>
      <c r="K8" s="168"/>
      <c r="L8" s="168"/>
      <c r="M8" s="166" t="s">
        <v>105</v>
      </c>
      <c r="N8" s="168"/>
      <c r="O8" s="166"/>
      <c r="P8" s="166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3" s="81" customFormat="1" ht="112.5" customHeight="1" x14ac:dyDescent="0.2">
      <c r="A9" s="168"/>
      <c r="B9" s="168"/>
      <c r="C9" s="169"/>
      <c r="D9" s="168"/>
      <c r="E9" s="168"/>
      <c r="F9" s="168"/>
      <c r="G9" s="168"/>
      <c r="H9" s="166"/>
      <c r="I9" s="168"/>
      <c r="J9" s="168"/>
      <c r="K9" s="168"/>
      <c r="L9" s="168"/>
      <c r="M9" s="171"/>
      <c r="N9" s="168"/>
      <c r="O9" s="166"/>
      <c r="P9" s="166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</row>
    <row r="10" spans="1:33" s="91" customFormat="1" ht="27" customHeight="1" x14ac:dyDescent="0.2">
      <c r="A10" s="172" t="s">
        <v>27</v>
      </c>
      <c r="B10" s="173"/>
      <c r="C10" s="21">
        <v>1</v>
      </c>
      <c r="D10" s="21">
        <v>2</v>
      </c>
      <c r="E10" s="21">
        <v>3</v>
      </c>
      <c r="F10" s="21">
        <v>4</v>
      </c>
      <c r="G10" s="21" t="s">
        <v>109</v>
      </c>
      <c r="H10" s="21" t="s">
        <v>117</v>
      </c>
      <c r="I10" s="21" t="s">
        <v>118</v>
      </c>
      <c r="J10" s="21" t="s">
        <v>164</v>
      </c>
      <c r="K10" s="21" t="s">
        <v>168</v>
      </c>
      <c r="L10" s="21" t="s">
        <v>15</v>
      </c>
      <c r="M10" s="21" t="s">
        <v>28</v>
      </c>
      <c r="N10" s="21" t="s">
        <v>25</v>
      </c>
      <c r="O10" s="21" t="s">
        <v>90</v>
      </c>
      <c r="P10" s="21" t="s">
        <v>91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</row>
    <row r="11" spans="1:33" s="81" customFormat="1" ht="25.5" x14ac:dyDescent="0.2">
      <c r="A11" s="174"/>
      <c r="B11" s="175"/>
      <c r="C11" s="96" t="s">
        <v>26</v>
      </c>
      <c r="D11" s="96" t="s">
        <v>10</v>
      </c>
      <c r="E11" s="96" t="s">
        <v>11</v>
      </c>
      <c r="F11" s="97"/>
      <c r="G11" s="97"/>
      <c r="H11" s="98"/>
      <c r="I11" s="98"/>
      <c r="J11" s="98"/>
      <c r="K11" s="96"/>
      <c r="L11" s="98"/>
      <c r="M11" s="99">
        <f>ROUND(M2*M7,0)</f>
        <v>2500</v>
      </c>
      <c r="N11" s="100"/>
      <c r="O11" s="101"/>
      <c r="P11" s="101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</row>
    <row r="12" spans="1:33" s="7" customFormat="1" ht="18" customHeight="1" x14ac:dyDescent="0.25">
      <c r="A12" s="102">
        <v>1</v>
      </c>
      <c r="B12" s="18" t="s">
        <v>173</v>
      </c>
      <c r="C12" s="157">
        <v>5955</v>
      </c>
      <c r="D12" s="14">
        <f>ИНП2020!U9</f>
        <v>0.76004000000000005</v>
      </c>
      <c r="E12" s="14">
        <f>ИБР2019!AR9</f>
        <v>0.92269999999999996</v>
      </c>
      <c r="F12" s="16">
        <f>ИНП2020!T9</f>
        <v>9056</v>
      </c>
      <c r="G12" s="16">
        <v>132</v>
      </c>
      <c r="H12" s="17">
        <f>(F12+G12)/E12</f>
        <v>9957.7000000000007</v>
      </c>
      <c r="I12" s="20">
        <f>(F12+G12)/C12</f>
        <v>1.5429999999999999</v>
      </c>
      <c r="J12" s="13">
        <f>ROUND((H12/C12)/($H$27/$C$27),5)</f>
        <v>0.76</v>
      </c>
      <c r="K12" s="111">
        <f>IF(J12&lt;$K$2,$K$2*($K$2-J12)*E12*C12,0)</f>
        <v>1456.5</v>
      </c>
      <c r="L12" s="15">
        <f>K12/$K$27</f>
        <v>0.1071</v>
      </c>
      <c r="M12" s="115">
        <f t="shared" ref="M12:M26" si="0">ROUND($M$11*L12/$L$27,0)</f>
        <v>268</v>
      </c>
      <c r="N12" s="13">
        <f>J12+M12/(C12*E12*$K$2)</f>
        <v>0.80800000000000005</v>
      </c>
      <c r="O12" s="115">
        <f>ROUND((H12+M12),1)</f>
        <v>10225.700000000001</v>
      </c>
      <c r="P12" s="116">
        <f>ROUND(O12/C12,3)</f>
        <v>1.7170000000000001</v>
      </c>
      <c r="R12" s="156"/>
    </row>
    <row r="13" spans="1:33" s="7" customFormat="1" ht="16.5" x14ac:dyDescent="0.25">
      <c r="A13" s="103">
        <v>2</v>
      </c>
      <c r="B13" s="18" t="s">
        <v>174</v>
      </c>
      <c r="C13" s="157">
        <v>6298</v>
      </c>
      <c r="D13" s="14">
        <f>ИНП2020!U10</f>
        <v>0.84428000000000003</v>
      </c>
      <c r="E13" s="14">
        <f>ИБР2019!AR10</f>
        <v>0.96801999999999999</v>
      </c>
      <c r="F13" s="16">
        <f>ИНП2020!T10</f>
        <v>10740</v>
      </c>
      <c r="G13" s="16">
        <v>235</v>
      </c>
      <c r="H13" s="17">
        <f t="shared" ref="H13:H26" si="1">(F13+G13)/E13</f>
        <v>11337.6</v>
      </c>
      <c r="I13" s="20">
        <f t="shared" ref="I13:I26" si="2">(F13+G13)/C13</f>
        <v>1.7430000000000001</v>
      </c>
      <c r="J13" s="13">
        <f t="shared" ref="J13:J26" si="3">ROUND((H13/C13)/($H$27/$C$27),5)</f>
        <v>0.81899999999999995</v>
      </c>
      <c r="K13" s="111">
        <f t="shared" ref="K13:K26" si="4">IF(J13&lt;$K$2,$K$2*($K$2-J13)*E13*C13,0)</f>
        <v>1249.2</v>
      </c>
      <c r="L13" s="15">
        <f t="shared" ref="L13:L26" si="5">K13/$K$27</f>
        <v>9.1899999999999996E-2</v>
      </c>
      <c r="M13" s="115">
        <f t="shared" si="0"/>
        <v>230</v>
      </c>
      <c r="N13" s="13">
        <f t="shared" ref="N13:N26" si="6">J13+M13/(C13*E13*$K$2)</f>
        <v>0.85599999999999998</v>
      </c>
      <c r="O13" s="115">
        <f t="shared" ref="O13:O26" si="7">ROUND((H13+M13),1)</f>
        <v>11567.6</v>
      </c>
      <c r="P13" s="116">
        <f t="shared" ref="P13:P26" si="8">ROUND(O13/C13,3)</f>
        <v>1.837</v>
      </c>
      <c r="R13" s="156"/>
    </row>
    <row r="14" spans="1:33" s="7" customFormat="1" ht="16.5" customHeight="1" x14ac:dyDescent="0.25">
      <c r="A14" s="103">
        <v>3</v>
      </c>
      <c r="B14" s="18" t="s">
        <v>175</v>
      </c>
      <c r="C14" s="157">
        <v>668</v>
      </c>
      <c r="D14" s="14">
        <f>ИНП2020!U11</f>
        <v>0.88973999999999998</v>
      </c>
      <c r="E14" s="14">
        <f>ИБР2019!AR11</f>
        <v>1.6631899999999999</v>
      </c>
      <c r="F14" s="16">
        <f>ИНП2020!T11</f>
        <v>1208</v>
      </c>
      <c r="G14" s="16">
        <v>134</v>
      </c>
      <c r="H14" s="17">
        <f t="shared" si="1"/>
        <v>806.9</v>
      </c>
      <c r="I14" s="20">
        <f t="shared" si="2"/>
        <v>2.0089999999999999</v>
      </c>
      <c r="J14" s="13">
        <f t="shared" si="3"/>
        <v>0.54900000000000004</v>
      </c>
      <c r="K14" s="111">
        <f t="shared" si="4"/>
        <v>533.6</v>
      </c>
      <c r="L14" s="15">
        <f t="shared" si="5"/>
        <v>3.9300000000000002E-2</v>
      </c>
      <c r="M14" s="115">
        <f t="shared" si="0"/>
        <v>98</v>
      </c>
      <c r="N14" s="13">
        <f t="shared" si="6"/>
        <v>0.63500000000000001</v>
      </c>
      <c r="O14" s="115">
        <f t="shared" si="7"/>
        <v>904.9</v>
      </c>
      <c r="P14" s="116">
        <f t="shared" si="8"/>
        <v>1.355</v>
      </c>
      <c r="R14" s="156"/>
    </row>
    <row r="15" spans="1:33" s="19" customFormat="1" ht="16.5" customHeight="1" x14ac:dyDescent="0.25">
      <c r="A15" s="104">
        <v>4</v>
      </c>
      <c r="B15" s="18" t="s">
        <v>176</v>
      </c>
      <c r="C15" s="157">
        <v>1604</v>
      </c>
      <c r="D15" s="14">
        <f>ИНП2020!U12</f>
        <v>1.4424600000000001</v>
      </c>
      <c r="E15" s="14">
        <f>ИБР2019!AR12</f>
        <v>1.1468400000000001</v>
      </c>
      <c r="F15" s="16">
        <f>ИНП2020!T12</f>
        <v>4591</v>
      </c>
      <c r="G15" s="16">
        <v>0</v>
      </c>
      <c r="H15" s="17">
        <f t="shared" si="1"/>
        <v>4003.2</v>
      </c>
      <c r="I15" s="20">
        <f t="shared" si="2"/>
        <v>2.8620000000000001</v>
      </c>
      <c r="J15" s="13">
        <f t="shared" si="3"/>
        <v>1.135</v>
      </c>
      <c r="K15" s="111">
        <f t="shared" si="4"/>
        <v>0</v>
      </c>
      <c r="L15" s="15">
        <f t="shared" si="5"/>
        <v>0</v>
      </c>
      <c r="M15" s="115">
        <f t="shared" si="0"/>
        <v>0</v>
      </c>
      <c r="N15" s="13">
        <f t="shared" si="6"/>
        <v>1.135</v>
      </c>
      <c r="O15" s="115">
        <f t="shared" si="7"/>
        <v>4003.2</v>
      </c>
      <c r="P15" s="116">
        <f t="shared" si="8"/>
        <v>2.496</v>
      </c>
      <c r="Q15" s="7"/>
      <c r="R15" s="156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s="19" customFormat="1" ht="16.5" customHeight="1" x14ac:dyDescent="0.25">
      <c r="A16" s="105">
        <v>5</v>
      </c>
      <c r="B16" s="18" t="s">
        <v>177</v>
      </c>
      <c r="C16" s="157">
        <v>3978</v>
      </c>
      <c r="D16" s="14">
        <f>ИНП2020!U13</f>
        <v>0.80003000000000002</v>
      </c>
      <c r="E16" s="14">
        <f>ИБР2019!AR13</f>
        <v>0.72269000000000005</v>
      </c>
      <c r="F16" s="16">
        <f>ИНП2020!T13</f>
        <v>6593</v>
      </c>
      <c r="G16" s="16">
        <v>0</v>
      </c>
      <c r="H16" s="17">
        <f t="shared" si="1"/>
        <v>9122.9</v>
      </c>
      <c r="I16" s="20">
        <f t="shared" si="2"/>
        <v>1.657</v>
      </c>
      <c r="J16" s="13">
        <f t="shared" si="3"/>
        <v>1.0429999999999999</v>
      </c>
      <c r="K16" s="111">
        <f t="shared" si="4"/>
        <v>0</v>
      </c>
      <c r="L16" s="15">
        <f t="shared" si="5"/>
        <v>0</v>
      </c>
      <c r="M16" s="115">
        <f t="shared" si="0"/>
        <v>0</v>
      </c>
      <c r="N16" s="13">
        <f t="shared" si="6"/>
        <v>1.0429999999999999</v>
      </c>
      <c r="O16" s="115">
        <f t="shared" si="7"/>
        <v>9122.9</v>
      </c>
      <c r="P16" s="116">
        <f t="shared" si="8"/>
        <v>2.2930000000000001</v>
      </c>
      <c r="Q16" s="7"/>
      <c r="R16" s="156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19" customFormat="1" ht="16.5" customHeight="1" x14ac:dyDescent="0.25">
      <c r="A17" s="105">
        <v>6</v>
      </c>
      <c r="B17" s="18" t="s">
        <v>178</v>
      </c>
      <c r="C17" s="157">
        <v>3935</v>
      </c>
      <c r="D17" s="14">
        <f>ИНП2020!U14</f>
        <v>0.51343000000000005</v>
      </c>
      <c r="E17" s="14">
        <f>ИБР2019!AR14</f>
        <v>0.96455000000000002</v>
      </c>
      <c r="F17" s="16">
        <f>ИНП2020!T14</f>
        <v>4046</v>
      </c>
      <c r="G17" s="16">
        <v>332</v>
      </c>
      <c r="H17" s="17">
        <f t="shared" si="1"/>
        <v>4538.8999999999996</v>
      </c>
      <c r="I17" s="20">
        <f t="shared" si="2"/>
        <v>1.113</v>
      </c>
      <c r="J17" s="13">
        <f t="shared" si="3"/>
        <v>0.52500000000000002</v>
      </c>
      <c r="K17" s="111">
        <f t="shared" si="4"/>
        <v>1915.8</v>
      </c>
      <c r="L17" s="15">
        <f t="shared" si="5"/>
        <v>0.1409</v>
      </c>
      <c r="M17" s="115">
        <f t="shared" si="0"/>
        <v>352</v>
      </c>
      <c r="N17" s="13">
        <f t="shared" si="6"/>
        <v>0.61599999999999999</v>
      </c>
      <c r="O17" s="115">
        <f t="shared" si="7"/>
        <v>4890.8999999999996</v>
      </c>
      <c r="P17" s="116">
        <f t="shared" si="8"/>
        <v>1.2430000000000001</v>
      </c>
      <c r="Q17" s="7"/>
      <c r="R17" s="15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19" customFormat="1" ht="16.5" customHeight="1" x14ac:dyDescent="0.25">
      <c r="A18" s="104">
        <v>7</v>
      </c>
      <c r="B18" s="18" t="s">
        <v>179</v>
      </c>
      <c r="C18" s="157">
        <v>3889</v>
      </c>
      <c r="D18" s="14">
        <f>ИНП2020!U15</f>
        <v>1.03346</v>
      </c>
      <c r="E18" s="14">
        <f>ИБР2019!AR15</f>
        <v>0.90439999999999998</v>
      </c>
      <c r="F18" s="16">
        <f>ИНП2020!T15</f>
        <v>8169</v>
      </c>
      <c r="G18" s="16">
        <v>0</v>
      </c>
      <c r="H18" s="17">
        <f t="shared" si="1"/>
        <v>9032.5</v>
      </c>
      <c r="I18" s="20">
        <f t="shared" si="2"/>
        <v>2.101</v>
      </c>
      <c r="J18" s="13">
        <f t="shared" si="3"/>
        <v>1.056</v>
      </c>
      <c r="K18" s="111">
        <f t="shared" si="4"/>
        <v>0</v>
      </c>
      <c r="L18" s="15">
        <f t="shared" si="5"/>
        <v>0</v>
      </c>
      <c r="M18" s="115">
        <f t="shared" si="0"/>
        <v>0</v>
      </c>
      <c r="N18" s="13">
        <f t="shared" si="6"/>
        <v>1.056</v>
      </c>
      <c r="O18" s="115">
        <f t="shared" si="7"/>
        <v>9032.5</v>
      </c>
      <c r="P18" s="116">
        <f t="shared" si="8"/>
        <v>2.323</v>
      </c>
      <c r="Q18" s="7"/>
      <c r="R18" s="156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19" customFormat="1" ht="16.5" customHeight="1" x14ac:dyDescent="0.25">
      <c r="A19" s="105">
        <v>8</v>
      </c>
      <c r="B19" s="18" t="s">
        <v>180</v>
      </c>
      <c r="C19" s="157">
        <v>1699</v>
      </c>
      <c r="D19" s="14">
        <f>ИНП2020!U16</f>
        <v>0.40045999999999998</v>
      </c>
      <c r="E19" s="14">
        <f>ИБР2019!AR16</f>
        <v>1.5917300000000001</v>
      </c>
      <c r="F19" s="16">
        <f>ИНП2020!T16</f>
        <v>1352</v>
      </c>
      <c r="G19" s="16">
        <v>357</v>
      </c>
      <c r="H19" s="17">
        <f t="shared" si="1"/>
        <v>1073.7</v>
      </c>
      <c r="I19" s="20">
        <f t="shared" si="2"/>
        <v>1.006</v>
      </c>
      <c r="J19" s="13">
        <f t="shared" si="3"/>
        <v>0.28699999999999998</v>
      </c>
      <c r="K19" s="111">
        <f t="shared" si="4"/>
        <v>2021.5</v>
      </c>
      <c r="L19" s="15">
        <f t="shared" si="5"/>
        <v>0.1487</v>
      </c>
      <c r="M19" s="115">
        <f t="shared" si="0"/>
        <v>372</v>
      </c>
      <c r="N19" s="13">
        <f t="shared" si="6"/>
        <v>0.42199999999999999</v>
      </c>
      <c r="O19" s="115">
        <f t="shared" si="7"/>
        <v>1445.7</v>
      </c>
      <c r="P19" s="116">
        <f t="shared" si="8"/>
        <v>0.85099999999999998</v>
      </c>
      <c r="Q19" s="7"/>
      <c r="R19" s="156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19" customFormat="1" ht="16.5" customHeight="1" x14ac:dyDescent="0.25">
      <c r="A20" s="105">
        <v>9</v>
      </c>
      <c r="B20" s="18" t="s">
        <v>181</v>
      </c>
      <c r="C20" s="157">
        <v>2758</v>
      </c>
      <c r="D20" s="14">
        <f>ИНП2020!U17</f>
        <v>2.1511200000000001</v>
      </c>
      <c r="E20" s="14">
        <f>ИБР2019!AR17</f>
        <v>1.15171</v>
      </c>
      <c r="F20" s="16">
        <f>ИНП2020!T17</f>
        <v>12042</v>
      </c>
      <c r="G20" s="16">
        <v>0</v>
      </c>
      <c r="H20" s="17">
        <f t="shared" si="1"/>
        <v>10455.799999999999</v>
      </c>
      <c r="I20" s="20">
        <f t="shared" si="2"/>
        <v>4.3659999999999997</v>
      </c>
      <c r="J20" s="13">
        <f t="shared" si="3"/>
        <v>1.724</v>
      </c>
      <c r="K20" s="111">
        <f t="shared" si="4"/>
        <v>0</v>
      </c>
      <c r="L20" s="15">
        <f t="shared" si="5"/>
        <v>0</v>
      </c>
      <c r="M20" s="115">
        <f t="shared" si="0"/>
        <v>0</v>
      </c>
      <c r="N20" s="13">
        <f t="shared" si="6"/>
        <v>1.724</v>
      </c>
      <c r="O20" s="115">
        <f t="shared" si="7"/>
        <v>10455.799999999999</v>
      </c>
      <c r="P20" s="116">
        <f t="shared" si="8"/>
        <v>3.7909999999999999</v>
      </c>
      <c r="Q20" s="7"/>
      <c r="R20" s="156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19" customFormat="1" ht="16.5" customHeight="1" x14ac:dyDescent="0.25">
      <c r="A21" s="104">
        <v>10</v>
      </c>
      <c r="B21" s="18" t="s">
        <v>182</v>
      </c>
      <c r="C21" s="157">
        <v>880</v>
      </c>
      <c r="D21" s="14">
        <f>ИНП2020!U18</f>
        <v>0.11122</v>
      </c>
      <c r="E21" s="14">
        <f>ИБР2019!AR18</f>
        <v>2.4810099999999999</v>
      </c>
      <c r="F21" s="16">
        <f>ИНП2020!T18</f>
        <v>192</v>
      </c>
      <c r="G21" s="16">
        <v>373</v>
      </c>
      <c r="H21" s="17">
        <f t="shared" si="1"/>
        <v>227.7</v>
      </c>
      <c r="I21" s="20">
        <f t="shared" si="2"/>
        <v>0.64200000000000002</v>
      </c>
      <c r="J21" s="13">
        <f t="shared" si="3"/>
        <v>0.11799999999999999</v>
      </c>
      <c r="K21" s="111">
        <f t="shared" si="4"/>
        <v>2008.3</v>
      </c>
      <c r="L21" s="15">
        <f t="shared" si="5"/>
        <v>0.1477</v>
      </c>
      <c r="M21" s="115">
        <f t="shared" si="0"/>
        <v>369</v>
      </c>
      <c r="N21" s="13">
        <f t="shared" si="6"/>
        <v>0.28399999999999997</v>
      </c>
      <c r="O21" s="115">
        <f t="shared" si="7"/>
        <v>596.70000000000005</v>
      </c>
      <c r="P21" s="116">
        <f t="shared" si="8"/>
        <v>0.67800000000000005</v>
      </c>
      <c r="Q21" s="7"/>
      <c r="R21" s="156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19" customFormat="1" ht="16.5" customHeight="1" x14ac:dyDescent="0.25">
      <c r="A22" s="104">
        <v>11</v>
      </c>
      <c r="B22" s="18" t="s">
        <v>183</v>
      </c>
      <c r="C22" s="157">
        <v>3748</v>
      </c>
      <c r="D22" s="14">
        <f>ИНП2020!U19</f>
        <v>1.3315399999999999</v>
      </c>
      <c r="E22" s="14">
        <f>ИБР2019!AR19</f>
        <v>1.03928</v>
      </c>
      <c r="F22" s="16">
        <f>ИНП2020!T19</f>
        <v>9978</v>
      </c>
      <c r="G22" s="16">
        <v>0</v>
      </c>
      <c r="H22" s="17">
        <f t="shared" si="1"/>
        <v>9600.9</v>
      </c>
      <c r="I22" s="20">
        <f t="shared" si="2"/>
        <v>2.6619999999999999</v>
      </c>
      <c r="J22" s="13">
        <f t="shared" si="3"/>
        <v>1.165</v>
      </c>
      <c r="K22" s="111">
        <f t="shared" si="4"/>
        <v>0</v>
      </c>
      <c r="L22" s="15">
        <f t="shared" si="5"/>
        <v>0</v>
      </c>
      <c r="M22" s="115">
        <f t="shared" si="0"/>
        <v>0</v>
      </c>
      <c r="N22" s="13">
        <f t="shared" si="6"/>
        <v>1.165</v>
      </c>
      <c r="O22" s="115">
        <f t="shared" si="7"/>
        <v>9600.9</v>
      </c>
      <c r="P22" s="116">
        <f t="shared" si="8"/>
        <v>2.5619999999999998</v>
      </c>
      <c r="Q22" s="7"/>
      <c r="R22" s="156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19" customFormat="1" ht="16.5" customHeight="1" x14ac:dyDescent="0.25">
      <c r="A23" s="104">
        <v>12</v>
      </c>
      <c r="B23" s="18" t="s">
        <v>184</v>
      </c>
      <c r="C23" s="157">
        <v>8897</v>
      </c>
      <c r="D23" s="14">
        <f>ИНП2020!U20</f>
        <v>0.90444000000000002</v>
      </c>
      <c r="E23" s="14">
        <f>ИБР2019!AR20</f>
        <v>0.84836</v>
      </c>
      <c r="F23" s="16">
        <f>ИНП2020!T20</f>
        <v>17135</v>
      </c>
      <c r="G23" s="16">
        <v>0</v>
      </c>
      <c r="H23" s="17">
        <f t="shared" si="1"/>
        <v>20197.8</v>
      </c>
      <c r="I23" s="20">
        <f t="shared" si="2"/>
        <v>1.9259999999999999</v>
      </c>
      <c r="J23" s="13">
        <f t="shared" si="3"/>
        <v>1.032</v>
      </c>
      <c r="K23" s="111">
        <f t="shared" si="4"/>
        <v>0</v>
      </c>
      <c r="L23" s="15">
        <f t="shared" si="5"/>
        <v>0</v>
      </c>
      <c r="M23" s="115">
        <f t="shared" si="0"/>
        <v>0</v>
      </c>
      <c r="N23" s="13">
        <f t="shared" si="6"/>
        <v>1.032</v>
      </c>
      <c r="O23" s="115">
        <f t="shared" si="7"/>
        <v>20197.8</v>
      </c>
      <c r="P23" s="116">
        <f t="shared" si="8"/>
        <v>2.27</v>
      </c>
      <c r="Q23" s="7"/>
      <c r="R23" s="156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19" customFormat="1" ht="16.5" customHeight="1" x14ac:dyDescent="0.25">
      <c r="A24" s="104">
        <v>13</v>
      </c>
      <c r="B24" s="18" t="s">
        <v>185</v>
      </c>
      <c r="C24" s="157">
        <v>3516</v>
      </c>
      <c r="D24" s="14">
        <f>ИНП2020!U21</f>
        <v>0.19758000000000001</v>
      </c>
      <c r="E24" s="14">
        <f>ИБР2019!AR21</f>
        <v>1.1637500000000001</v>
      </c>
      <c r="F24" s="16">
        <f>ИНП2020!T21</f>
        <v>1514</v>
      </c>
      <c r="G24" s="16">
        <v>640</v>
      </c>
      <c r="H24" s="17">
        <f t="shared" si="1"/>
        <v>1850.9</v>
      </c>
      <c r="I24" s="20">
        <f t="shared" si="2"/>
        <v>0.61299999999999999</v>
      </c>
      <c r="J24" s="13">
        <f t="shared" si="3"/>
        <v>0.23899999999999999</v>
      </c>
      <c r="K24" s="111">
        <f t="shared" si="4"/>
        <v>3258.8</v>
      </c>
      <c r="L24" s="15">
        <f t="shared" si="5"/>
        <v>0.2397</v>
      </c>
      <c r="M24" s="115">
        <f t="shared" si="0"/>
        <v>599</v>
      </c>
      <c r="N24" s="13">
        <f t="shared" si="6"/>
        <v>0.38300000000000001</v>
      </c>
      <c r="O24" s="115">
        <f t="shared" si="7"/>
        <v>2449.9</v>
      </c>
      <c r="P24" s="116">
        <f t="shared" si="8"/>
        <v>0.69699999999999995</v>
      </c>
      <c r="Q24" s="7"/>
      <c r="R24" s="156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19" customFormat="1" ht="16.5" customHeight="1" x14ac:dyDescent="0.25">
      <c r="A25" s="104">
        <v>14</v>
      </c>
      <c r="B25" s="18" t="s">
        <v>186</v>
      </c>
      <c r="C25" s="157">
        <v>10947</v>
      </c>
      <c r="D25" s="14">
        <f>ИНП2020!U22</f>
        <v>1.5433300000000001</v>
      </c>
      <c r="E25" s="14">
        <f>ИБР2019!AR22</f>
        <v>0.88683000000000001</v>
      </c>
      <c r="F25" s="16">
        <f>ИНП2020!T22</f>
        <v>34235</v>
      </c>
      <c r="G25" s="16">
        <v>0</v>
      </c>
      <c r="H25" s="17">
        <f t="shared" si="1"/>
        <v>38603.800000000003</v>
      </c>
      <c r="I25" s="20">
        <f t="shared" si="2"/>
        <v>3.1269999999999998</v>
      </c>
      <c r="J25" s="13">
        <f t="shared" si="3"/>
        <v>1.6040000000000001</v>
      </c>
      <c r="K25" s="111">
        <f t="shared" si="4"/>
        <v>0</v>
      </c>
      <c r="L25" s="15">
        <f t="shared" si="5"/>
        <v>0</v>
      </c>
      <c r="M25" s="115">
        <f t="shared" si="0"/>
        <v>0</v>
      </c>
      <c r="N25" s="13">
        <f t="shared" si="6"/>
        <v>1.6040000000000001</v>
      </c>
      <c r="O25" s="115">
        <f t="shared" si="7"/>
        <v>38603.800000000003</v>
      </c>
      <c r="P25" s="116">
        <f t="shared" si="8"/>
        <v>3.5259999999999998</v>
      </c>
      <c r="Q25" s="7"/>
      <c r="R25" s="15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19" customFormat="1" ht="16.5" customHeight="1" x14ac:dyDescent="0.25">
      <c r="A26" s="105">
        <v>15</v>
      </c>
      <c r="B26" s="18" t="s">
        <v>187</v>
      </c>
      <c r="C26" s="157">
        <v>1451</v>
      </c>
      <c r="D26" s="14">
        <f>ИНП2020!U23</f>
        <v>0.77087000000000006</v>
      </c>
      <c r="E26" s="14">
        <f>ИБР2019!AR23</f>
        <v>1.50695</v>
      </c>
      <c r="F26" s="16">
        <f>ИНП2020!T23</f>
        <v>2233</v>
      </c>
      <c r="G26" s="16">
        <v>192</v>
      </c>
      <c r="H26" s="17">
        <f t="shared" si="1"/>
        <v>1609.2</v>
      </c>
      <c r="I26" s="20">
        <f t="shared" si="2"/>
        <v>1.671</v>
      </c>
      <c r="J26" s="13">
        <f t="shared" si="3"/>
        <v>0.504</v>
      </c>
      <c r="K26" s="111">
        <f t="shared" si="4"/>
        <v>1150.5</v>
      </c>
      <c r="L26" s="15">
        <f t="shared" si="5"/>
        <v>8.4599999999999995E-2</v>
      </c>
      <c r="M26" s="115">
        <f t="shared" si="0"/>
        <v>212</v>
      </c>
      <c r="N26" s="13">
        <f t="shared" si="6"/>
        <v>0.59899999999999998</v>
      </c>
      <c r="O26" s="115">
        <f t="shared" si="7"/>
        <v>1821.2</v>
      </c>
      <c r="P26" s="116">
        <f t="shared" si="8"/>
        <v>1.2549999999999999</v>
      </c>
      <c r="Q26" s="7"/>
      <c r="R26" s="156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6.5" x14ac:dyDescent="0.25">
      <c r="A27" s="170" t="s">
        <v>0</v>
      </c>
      <c r="B27" s="170"/>
      <c r="C27" s="112">
        <f>SUM(C12:C26)</f>
        <v>60223</v>
      </c>
      <c r="D27" s="114">
        <f>ИНП2020!U24</f>
        <v>1</v>
      </c>
      <c r="E27" s="114">
        <f>ИБР2019!AR24</f>
        <v>1</v>
      </c>
      <c r="F27" s="22">
        <f>SUM(F12:F26)</f>
        <v>123084</v>
      </c>
      <c r="G27" s="22">
        <f>SUM(G12:G26)</f>
        <v>2395</v>
      </c>
      <c r="H27" s="22">
        <f>SUM(H12:H26)</f>
        <v>132419.5</v>
      </c>
      <c r="I27" s="24">
        <f>AVERAGE(I12:I26)</f>
        <v>1.9359999999999999</v>
      </c>
      <c r="J27" s="23">
        <f>AVERAGE(J12:J26)</f>
        <v>0.83699999999999997</v>
      </c>
      <c r="K27" s="22">
        <f>SUM(K12:K26)</f>
        <v>13594.2</v>
      </c>
      <c r="L27" s="113">
        <f>SUM(L12:L26)</f>
        <v>0.99990000000000001</v>
      </c>
      <c r="M27" s="22">
        <f>SUM(M12:M26)</f>
        <v>2500</v>
      </c>
      <c r="N27" s="23">
        <f>AVERAGE(N12:N26)</f>
        <v>0.89100000000000001</v>
      </c>
      <c r="O27" s="22">
        <f>SUM(O12:O26)</f>
        <v>134919.5</v>
      </c>
      <c r="P27" s="23">
        <f>AVERAGE(P12:P26)</f>
        <v>1.9259999999999999</v>
      </c>
      <c r="R27" s="156"/>
    </row>
    <row r="28" spans="1:33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12"/>
      <c r="L28" s="7"/>
      <c r="M28" s="7"/>
      <c r="N28" s="7"/>
      <c r="O28" s="7"/>
    </row>
    <row r="29" spans="1:33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11"/>
      <c r="N29" s="7"/>
      <c r="O29" s="7"/>
    </row>
  </sheetData>
  <mergeCells count="20">
    <mergeCell ref="A27:B27"/>
    <mergeCell ref="M8:M9"/>
    <mergeCell ref="A10:B10"/>
    <mergeCell ref="A11:B11"/>
    <mergeCell ref="J7:J9"/>
    <mergeCell ref="K7:K9"/>
    <mergeCell ref="L7:L9"/>
    <mergeCell ref="P7:P9"/>
    <mergeCell ref="A2:B2"/>
    <mergeCell ref="O7:O9"/>
    <mergeCell ref="H7:H9"/>
    <mergeCell ref="N7:N9"/>
    <mergeCell ref="A7:A9"/>
    <mergeCell ref="B7:B9"/>
    <mergeCell ref="C7:C9"/>
    <mergeCell ref="D7:D9"/>
    <mergeCell ref="E7:E9"/>
    <mergeCell ref="F7:F9"/>
    <mergeCell ref="I7:I9"/>
    <mergeCell ref="G7:G9"/>
  </mergeCells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4"/>
  <sheetViews>
    <sheetView tabSelected="1" view="pageBreakPreview" zoomScale="85" zoomScaleNormal="93" zoomScaleSheetLayoutView="85" workbookViewId="0">
      <pane xSplit="2" ySplit="9" topLeftCell="C10" activePane="bottomRight" state="frozen"/>
      <selection activeCell="G21" sqref="G21"/>
      <selection pane="topRight" activeCell="G21" sqref="G21"/>
      <selection pane="bottomLeft" activeCell="G21" sqref="G21"/>
      <selection pane="bottomRight" activeCell="I5" sqref="I5:I6"/>
    </sheetView>
  </sheetViews>
  <sheetFormatPr defaultColWidth="8.83203125" defaultRowHeight="12.75" x14ac:dyDescent="0.2"/>
  <cols>
    <col min="1" max="1" width="5.1640625" style="5" customWidth="1"/>
    <col min="2" max="2" width="25.33203125" style="5" customWidth="1"/>
    <col min="3" max="3" width="14.1640625" style="5" customWidth="1"/>
    <col min="4" max="4" width="18" style="5" customWidth="1"/>
    <col min="5" max="5" width="14" style="5" customWidth="1"/>
    <col min="6" max="6" width="13.5" style="5" customWidth="1"/>
    <col min="7" max="7" width="16.5" style="5" customWidth="1"/>
    <col min="8" max="8" width="25.83203125" style="5" bestFit="1" customWidth="1"/>
    <col min="9" max="9" width="32" style="5" customWidth="1"/>
    <col min="10" max="10" width="15.83203125" style="5" customWidth="1"/>
    <col min="11" max="11" width="15.1640625" style="5" customWidth="1"/>
    <col min="12" max="13" width="13.83203125" style="5" customWidth="1"/>
    <col min="14" max="15" width="14.1640625" style="5" customWidth="1"/>
    <col min="16" max="16" width="15.1640625" style="5" customWidth="1"/>
    <col min="17" max="17" width="29.33203125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10</v>
      </c>
      <c r="C1" s="6"/>
    </row>
    <row r="2" spans="1:23" ht="15.4" customHeight="1" x14ac:dyDescent="0.3">
      <c r="C2" s="8" t="s">
        <v>192</v>
      </c>
    </row>
    <row r="3" spans="1:23" x14ac:dyDescent="0.2">
      <c r="A3" s="2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68" t="s">
        <v>1</v>
      </c>
      <c r="B4" s="168" t="s">
        <v>29</v>
      </c>
      <c r="C4" s="169" t="s">
        <v>193</v>
      </c>
      <c r="D4" s="177" t="s">
        <v>4</v>
      </c>
      <c r="E4" s="177"/>
      <c r="F4" s="177"/>
      <c r="G4" s="177"/>
      <c r="H4" s="177" t="s">
        <v>43</v>
      </c>
      <c r="I4" s="177"/>
      <c r="J4" s="177"/>
      <c r="K4" s="177"/>
      <c r="L4" s="177" t="s">
        <v>14</v>
      </c>
      <c r="M4" s="177"/>
      <c r="N4" s="177"/>
      <c r="O4" s="177"/>
      <c r="P4" s="177" t="s">
        <v>47</v>
      </c>
      <c r="Q4" s="177"/>
      <c r="R4" s="177"/>
      <c r="S4" s="177"/>
      <c r="T4" s="177" t="s">
        <v>12</v>
      </c>
      <c r="U4" s="177" t="s">
        <v>9</v>
      </c>
    </row>
    <row r="5" spans="1:23" ht="13.15" customHeight="1" x14ac:dyDescent="0.2">
      <c r="A5" s="168"/>
      <c r="B5" s="168"/>
      <c r="C5" s="169"/>
      <c r="D5" s="176" t="s">
        <v>21</v>
      </c>
      <c r="E5" s="176" t="s">
        <v>194</v>
      </c>
      <c r="F5" s="176" t="s">
        <v>41</v>
      </c>
      <c r="G5" s="177" t="s">
        <v>13</v>
      </c>
      <c r="H5" s="176" t="s">
        <v>44</v>
      </c>
      <c r="I5" s="168" t="s">
        <v>49</v>
      </c>
      <c r="J5" s="176" t="s">
        <v>41</v>
      </c>
      <c r="K5" s="177" t="s">
        <v>13</v>
      </c>
      <c r="L5" s="176" t="s">
        <v>45</v>
      </c>
      <c r="M5" s="176" t="s">
        <v>23</v>
      </c>
      <c r="N5" s="176" t="s">
        <v>46</v>
      </c>
      <c r="O5" s="177" t="s">
        <v>13</v>
      </c>
      <c r="P5" s="181" t="s">
        <v>44</v>
      </c>
      <c r="Q5" s="168" t="s">
        <v>48</v>
      </c>
      <c r="R5" s="176" t="s">
        <v>46</v>
      </c>
      <c r="S5" s="177" t="s">
        <v>13</v>
      </c>
      <c r="T5" s="177"/>
      <c r="U5" s="177"/>
    </row>
    <row r="6" spans="1:23" ht="84" customHeight="1" x14ac:dyDescent="0.2">
      <c r="A6" s="168"/>
      <c r="B6" s="168"/>
      <c r="C6" s="169"/>
      <c r="D6" s="176"/>
      <c r="E6" s="176"/>
      <c r="F6" s="176"/>
      <c r="G6" s="177"/>
      <c r="H6" s="176"/>
      <c r="I6" s="168"/>
      <c r="J6" s="176"/>
      <c r="K6" s="177"/>
      <c r="L6" s="176"/>
      <c r="M6" s="176"/>
      <c r="N6" s="176"/>
      <c r="O6" s="177"/>
      <c r="P6" s="181"/>
      <c r="Q6" s="168"/>
      <c r="R6" s="176"/>
      <c r="S6" s="177"/>
      <c r="T6" s="177"/>
      <c r="U6" s="177"/>
    </row>
    <row r="7" spans="1:23" s="25" customFormat="1" ht="28.5" customHeight="1" x14ac:dyDescent="0.2">
      <c r="A7" s="180" t="s">
        <v>27</v>
      </c>
      <c r="B7" s="180"/>
      <c r="C7" s="21">
        <v>1</v>
      </c>
      <c r="D7" s="92">
        <v>2</v>
      </c>
      <c r="E7" s="92">
        <v>3</v>
      </c>
      <c r="F7" s="92">
        <v>4</v>
      </c>
      <c r="G7" s="92" t="s">
        <v>42</v>
      </c>
      <c r="H7" s="92">
        <v>6</v>
      </c>
      <c r="I7" s="92">
        <v>7</v>
      </c>
      <c r="J7" s="92">
        <v>8</v>
      </c>
      <c r="K7" s="92" t="s">
        <v>85</v>
      </c>
      <c r="L7" s="92">
        <v>10</v>
      </c>
      <c r="M7" s="92">
        <v>11</v>
      </c>
      <c r="N7" s="92">
        <v>12</v>
      </c>
      <c r="O7" s="92" t="s">
        <v>86</v>
      </c>
      <c r="P7" s="92">
        <v>14</v>
      </c>
      <c r="Q7" s="92">
        <v>15</v>
      </c>
      <c r="R7" s="92">
        <v>16</v>
      </c>
      <c r="S7" s="92" t="s">
        <v>87</v>
      </c>
      <c r="T7" s="93" t="s">
        <v>88</v>
      </c>
      <c r="U7" s="94" t="s">
        <v>89</v>
      </c>
    </row>
    <row r="8" spans="1:23" s="25" customFormat="1" ht="13.5" x14ac:dyDescent="0.25">
      <c r="A8" s="179"/>
      <c r="B8" s="179"/>
      <c r="C8" s="130" t="s">
        <v>26</v>
      </c>
      <c r="D8" s="36"/>
      <c r="E8" s="130"/>
      <c r="F8" s="130" t="s">
        <v>22</v>
      </c>
      <c r="G8" s="36"/>
      <c r="H8" s="36"/>
      <c r="I8" s="36"/>
      <c r="J8" s="130" t="s">
        <v>22</v>
      </c>
      <c r="K8" s="26"/>
      <c r="L8" s="36"/>
      <c r="M8" s="130" t="s">
        <v>22</v>
      </c>
      <c r="N8" s="130" t="s">
        <v>22</v>
      </c>
      <c r="O8" s="36"/>
      <c r="P8" s="36"/>
      <c r="Q8" s="36"/>
      <c r="R8" s="130" t="s">
        <v>22</v>
      </c>
      <c r="S8" s="36"/>
      <c r="T8" s="26"/>
      <c r="U8" s="27" t="s">
        <v>6</v>
      </c>
    </row>
    <row r="9" spans="1:23" s="25" customFormat="1" ht="16.5" x14ac:dyDescent="0.25">
      <c r="A9" s="102">
        <v>1</v>
      </c>
      <c r="B9" s="18" t="s">
        <v>173</v>
      </c>
      <c r="C9" s="157">
        <v>5915</v>
      </c>
      <c r="D9" s="28">
        <v>1083000</v>
      </c>
      <c r="E9" s="30">
        <f>(G9/D9/F9)</f>
        <v>0.14299999999999999</v>
      </c>
      <c r="F9" s="29">
        <v>0.02</v>
      </c>
      <c r="G9" s="31">
        <v>3097</v>
      </c>
      <c r="H9" s="37">
        <v>1743</v>
      </c>
      <c r="I9" s="37">
        <v>0</v>
      </c>
      <c r="J9" s="29">
        <v>1</v>
      </c>
      <c r="K9" s="31">
        <f>ROUND((H9+I9)*J9,0)</f>
        <v>1743</v>
      </c>
      <c r="L9" s="37">
        <f>O9/(M9*N9)</f>
        <v>10778</v>
      </c>
      <c r="M9" s="29">
        <v>0.06</v>
      </c>
      <c r="N9" s="29">
        <v>0.3</v>
      </c>
      <c r="O9" s="37">
        <v>194</v>
      </c>
      <c r="P9" s="31">
        <v>4022</v>
      </c>
      <c r="Q9" s="31"/>
      <c r="R9" s="29">
        <v>1</v>
      </c>
      <c r="S9" s="31">
        <f>ROUND((P9+Q9)*R9,0)</f>
        <v>4022</v>
      </c>
      <c r="T9" s="31">
        <f>G9+K9+O9+S9</f>
        <v>9056</v>
      </c>
      <c r="U9" s="32">
        <f>ROUND((T9/C9)/($T$24/$C$24),5)</f>
        <v>0.76004000000000005</v>
      </c>
      <c r="V9" s="33"/>
      <c r="W9" s="34"/>
    </row>
    <row r="10" spans="1:23" s="25" customFormat="1" ht="16.5" x14ac:dyDescent="0.25">
      <c r="A10" s="103">
        <v>2</v>
      </c>
      <c r="B10" s="18" t="s">
        <v>174</v>
      </c>
      <c r="C10" s="157">
        <v>6315</v>
      </c>
      <c r="D10" s="28">
        <v>405000</v>
      </c>
      <c r="E10" s="30">
        <f t="shared" ref="E10:E23" si="0">(G10/D10/F10)</f>
        <v>0.12959999999999999</v>
      </c>
      <c r="F10" s="29">
        <v>0.02</v>
      </c>
      <c r="G10" s="31">
        <v>1050</v>
      </c>
      <c r="H10" s="37">
        <v>3144</v>
      </c>
      <c r="I10" s="37">
        <v>0</v>
      </c>
      <c r="J10" s="29">
        <v>1</v>
      </c>
      <c r="K10" s="31">
        <f t="shared" ref="K10:K23" si="1">ROUND((H10+I10)*J10,0)</f>
        <v>3144</v>
      </c>
      <c r="L10" s="37">
        <f t="shared" ref="L10:L23" si="2">O10/(M10*N10)</f>
        <v>57000</v>
      </c>
      <c r="M10" s="29">
        <v>0.06</v>
      </c>
      <c r="N10" s="29">
        <v>0.3</v>
      </c>
      <c r="O10" s="37">
        <v>1026</v>
      </c>
      <c r="P10" s="31">
        <v>5520</v>
      </c>
      <c r="Q10" s="31"/>
      <c r="R10" s="29">
        <v>1</v>
      </c>
      <c r="S10" s="31">
        <f t="shared" ref="S10:S23" si="3">ROUND((P10+Q10)*R10,0)</f>
        <v>5520</v>
      </c>
      <c r="T10" s="31">
        <f t="shared" ref="T10:T23" si="4">G10+K10+O10+S10</f>
        <v>10740</v>
      </c>
      <c r="U10" s="32">
        <f t="shared" ref="U10:U23" si="5">ROUND((T10/C10)/($T$24/$C$24),5)</f>
        <v>0.84428000000000003</v>
      </c>
      <c r="V10" s="33"/>
      <c r="W10" s="34"/>
    </row>
    <row r="11" spans="1:23" s="25" customFormat="1" ht="16.5" x14ac:dyDescent="0.25">
      <c r="A11" s="103">
        <v>3</v>
      </c>
      <c r="B11" s="18" t="s">
        <v>175</v>
      </c>
      <c r="C11" s="157">
        <v>674</v>
      </c>
      <c r="D11" s="28">
        <v>50000</v>
      </c>
      <c r="E11" s="30">
        <f t="shared" si="0"/>
        <v>0.13500000000000001</v>
      </c>
      <c r="F11" s="29">
        <v>0.02</v>
      </c>
      <c r="G11" s="31">
        <v>135</v>
      </c>
      <c r="H11" s="37">
        <v>90</v>
      </c>
      <c r="I11" s="37">
        <v>0</v>
      </c>
      <c r="J11" s="29">
        <v>1</v>
      </c>
      <c r="K11" s="31">
        <f t="shared" si="1"/>
        <v>90</v>
      </c>
      <c r="L11" s="37">
        <f t="shared" si="2"/>
        <v>6667</v>
      </c>
      <c r="M11" s="29">
        <v>0.06</v>
      </c>
      <c r="N11" s="29">
        <v>0.3</v>
      </c>
      <c r="O11" s="37">
        <v>120</v>
      </c>
      <c r="P11" s="31">
        <v>863</v>
      </c>
      <c r="Q11" s="31"/>
      <c r="R11" s="29">
        <v>1</v>
      </c>
      <c r="S11" s="31">
        <f t="shared" si="3"/>
        <v>863</v>
      </c>
      <c r="T11" s="31">
        <f t="shared" si="4"/>
        <v>1208</v>
      </c>
      <c r="U11" s="32">
        <f t="shared" si="5"/>
        <v>0.88973999999999998</v>
      </c>
      <c r="V11" s="33"/>
      <c r="W11" s="34"/>
    </row>
    <row r="12" spans="1:23" s="25" customFormat="1" ht="16.5" x14ac:dyDescent="0.25">
      <c r="A12" s="104">
        <v>4</v>
      </c>
      <c r="B12" s="18" t="s">
        <v>176</v>
      </c>
      <c r="C12" s="157">
        <v>1580</v>
      </c>
      <c r="D12" s="28">
        <v>168000</v>
      </c>
      <c r="E12" s="30">
        <f t="shared" si="0"/>
        <v>0.16489999999999999</v>
      </c>
      <c r="F12" s="29">
        <v>0.02</v>
      </c>
      <c r="G12" s="31">
        <v>554</v>
      </c>
      <c r="H12" s="37">
        <v>877</v>
      </c>
      <c r="I12" s="37">
        <v>0</v>
      </c>
      <c r="J12" s="29">
        <v>1</v>
      </c>
      <c r="K12" s="31">
        <f t="shared" si="1"/>
        <v>877</v>
      </c>
      <c r="L12" s="37">
        <f t="shared" si="2"/>
        <v>0</v>
      </c>
      <c r="M12" s="29">
        <v>0.06</v>
      </c>
      <c r="N12" s="29">
        <v>0.3</v>
      </c>
      <c r="O12" s="37"/>
      <c r="P12" s="31">
        <v>3160</v>
      </c>
      <c r="Q12" s="31"/>
      <c r="R12" s="29">
        <v>1</v>
      </c>
      <c r="S12" s="31">
        <f t="shared" si="3"/>
        <v>3160</v>
      </c>
      <c r="T12" s="31">
        <f t="shared" si="4"/>
        <v>4591</v>
      </c>
      <c r="U12" s="32">
        <f t="shared" si="5"/>
        <v>1.4424600000000001</v>
      </c>
      <c r="V12" s="33"/>
      <c r="W12" s="34"/>
    </row>
    <row r="13" spans="1:23" s="25" customFormat="1" ht="16.5" x14ac:dyDescent="0.25">
      <c r="A13" s="105">
        <v>5</v>
      </c>
      <c r="B13" s="18" t="s">
        <v>177</v>
      </c>
      <c r="C13" s="157">
        <v>4091</v>
      </c>
      <c r="D13" s="28">
        <v>193000</v>
      </c>
      <c r="E13" s="30">
        <f t="shared" si="0"/>
        <v>0.1298</v>
      </c>
      <c r="F13" s="29">
        <v>0.02</v>
      </c>
      <c r="G13" s="31">
        <v>501</v>
      </c>
      <c r="H13" s="37">
        <v>2117</v>
      </c>
      <c r="I13" s="37">
        <v>0</v>
      </c>
      <c r="J13" s="29">
        <v>1</v>
      </c>
      <c r="K13" s="31">
        <f t="shared" si="1"/>
        <v>2117</v>
      </c>
      <c r="L13" s="37">
        <f t="shared" si="2"/>
        <v>0</v>
      </c>
      <c r="M13" s="29">
        <v>0.06</v>
      </c>
      <c r="N13" s="29">
        <v>0.3</v>
      </c>
      <c r="O13" s="37"/>
      <c r="P13" s="31">
        <v>3975</v>
      </c>
      <c r="Q13" s="31"/>
      <c r="R13" s="29">
        <v>1</v>
      </c>
      <c r="S13" s="31">
        <f t="shared" si="3"/>
        <v>3975</v>
      </c>
      <c r="T13" s="31">
        <f t="shared" si="4"/>
        <v>6593</v>
      </c>
      <c r="U13" s="32">
        <f t="shared" si="5"/>
        <v>0.80003000000000002</v>
      </c>
      <c r="V13" s="33"/>
      <c r="W13" s="34"/>
    </row>
    <row r="14" spans="1:23" s="25" customFormat="1" ht="16.5" x14ac:dyDescent="0.25">
      <c r="A14" s="105">
        <v>6</v>
      </c>
      <c r="B14" s="18" t="s">
        <v>178</v>
      </c>
      <c r="C14" s="157">
        <v>3912</v>
      </c>
      <c r="D14" s="28">
        <v>77000</v>
      </c>
      <c r="E14" s="30">
        <f t="shared" si="0"/>
        <v>0.1409</v>
      </c>
      <c r="F14" s="29">
        <v>0.02</v>
      </c>
      <c r="G14" s="31">
        <v>217</v>
      </c>
      <c r="H14" s="37">
        <v>1227</v>
      </c>
      <c r="I14" s="37">
        <v>0</v>
      </c>
      <c r="J14" s="29">
        <v>1</v>
      </c>
      <c r="K14" s="31">
        <f t="shared" si="1"/>
        <v>1227</v>
      </c>
      <c r="L14" s="37">
        <f t="shared" si="2"/>
        <v>0</v>
      </c>
      <c r="M14" s="29">
        <v>0.06</v>
      </c>
      <c r="N14" s="29">
        <v>0.3</v>
      </c>
      <c r="O14" s="37"/>
      <c r="P14" s="31">
        <v>2602</v>
      </c>
      <c r="Q14" s="31"/>
      <c r="R14" s="29">
        <v>1</v>
      </c>
      <c r="S14" s="31">
        <f t="shared" si="3"/>
        <v>2602</v>
      </c>
      <c r="T14" s="31">
        <f t="shared" si="4"/>
        <v>4046</v>
      </c>
      <c r="U14" s="32">
        <f t="shared" si="5"/>
        <v>0.51343000000000005</v>
      </c>
      <c r="V14" s="33"/>
      <c r="W14" s="34"/>
    </row>
    <row r="15" spans="1:23" s="25" customFormat="1" ht="16.5" x14ac:dyDescent="0.25">
      <c r="A15" s="104">
        <v>7</v>
      </c>
      <c r="B15" s="18" t="s">
        <v>179</v>
      </c>
      <c r="C15" s="157">
        <v>3924</v>
      </c>
      <c r="D15" s="28">
        <v>277000</v>
      </c>
      <c r="E15" s="30">
        <f t="shared" si="0"/>
        <v>0.1384</v>
      </c>
      <c r="F15" s="29">
        <v>0.02</v>
      </c>
      <c r="G15" s="31">
        <v>767</v>
      </c>
      <c r="H15" s="37">
        <v>3286</v>
      </c>
      <c r="I15" s="37">
        <v>0</v>
      </c>
      <c r="J15" s="29">
        <v>1</v>
      </c>
      <c r="K15" s="31">
        <f t="shared" si="1"/>
        <v>3286</v>
      </c>
      <c r="L15" s="37">
        <f t="shared" si="2"/>
        <v>0</v>
      </c>
      <c r="M15" s="29">
        <v>0.06</v>
      </c>
      <c r="N15" s="29">
        <v>0.3</v>
      </c>
      <c r="O15" s="37"/>
      <c r="P15" s="31">
        <v>4116</v>
      </c>
      <c r="Q15" s="31"/>
      <c r="R15" s="29">
        <v>1</v>
      </c>
      <c r="S15" s="31">
        <f t="shared" si="3"/>
        <v>4116</v>
      </c>
      <c r="T15" s="31">
        <f t="shared" si="4"/>
        <v>8169</v>
      </c>
      <c r="U15" s="32">
        <f t="shared" si="5"/>
        <v>1.03346</v>
      </c>
      <c r="V15" s="33"/>
      <c r="W15" s="34"/>
    </row>
    <row r="16" spans="1:23" s="25" customFormat="1" ht="16.5" x14ac:dyDescent="0.25">
      <c r="A16" s="105">
        <v>8</v>
      </c>
      <c r="B16" s="18" t="s">
        <v>180</v>
      </c>
      <c r="C16" s="157">
        <v>1676</v>
      </c>
      <c r="D16" s="28">
        <v>77000</v>
      </c>
      <c r="E16" s="30">
        <f t="shared" si="0"/>
        <v>7.9899999999999999E-2</v>
      </c>
      <c r="F16" s="29">
        <v>0.02</v>
      </c>
      <c r="G16" s="31">
        <v>123</v>
      </c>
      <c r="H16" s="37">
        <v>244</v>
      </c>
      <c r="I16" s="37">
        <v>0</v>
      </c>
      <c r="J16" s="29">
        <v>1</v>
      </c>
      <c r="K16" s="31">
        <f t="shared" si="1"/>
        <v>244</v>
      </c>
      <c r="L16" s="37">
        <f t="shared" si="2"/>
        <v>333</v>
      </c>
      <c r="M16" s="29">
        <v>0.06</v>
      </c>
      <c r="N16" s="29">
        <v>0.3</v>
      </c>
      <c r="O16" s="37">
        <v>6</v>
      </c>
      <c r="P16" s="31">
        <v>979</v>
      </c>
      <c r="Q16" s="31"/>
      <c r="R16" s="29">
        <v>1</v>
      </c>
      <c r="S16" s="31">
        <f t="shared" si="3"/>
        <v>979</v>
      </c>
      <c r="T16" s="31">
        <f t="shared" si="4"/>
        <v>1352</v>
      </c>
      <c r="U16" s="32">
        <f t="shared" si="5"/>
        <v>0.40045999999999998</v>
      </c>
      <c r="V16" s="33"/>
      <c r="W16" s="34"/>
    </row>
    <row r="17" spans="1:23" s="25" customFormat="1" ht="16.5" x14ac:dyDescent="0.25">
      <c r="A17" s="105">
        <v>9</v>
      </c>
      <c r="B17" s="18" t="s">
        <v>181</v>
      </c>
      <c r="C17" s="157">
        <v>2779</v>
      </c>
      <c r="D17" s="28">
        <v>236000</v>
      </c>
      <c r="E17" s="30">
        <f t="shared" si="0"/>
        <v>0.14560000000000001</v>
      </c>
      <c r="F17" s="29">
        <v>0.02</v>
      </c>
      <c r="G17" s="31">
        <v>687</v>
      </c>
      <c r="H17" s="37">
        <v>2086</v>
      </c>
      <c r="I17" s="37">
        <v>0</v>
      </c>
      <c r="J17" s="29">
        <v>1</v>
      </c>
      <c r="K17" s="31">
        <f t="shared" si="1"/>
        <v>2086</v>
      </c>
      <c r="L17" s="37">
        <f t="shared" si="2"/>
        <v>1222</v>
      </c>
      <c r="M17" s="29">
        <v>0.06</v>
      </c>
      <c r="N17" s="29">
        <v>0.3</v>
      </c>
      <c r="O17" s="37">
        <v>22</v>
      </c>
      <c r="P17" s="31">
        <v>9247</v>
      </c>
      <c r="Q17" s="31"/>
      <c r="R17" s="29">
        <v>1</v>
      </c>
      <c r="S17" s="31">
        <f t="shared" si="3"/>
        <v>9247</v>
      </c>
      <c r="T17" s="31">
        <f t="shared" si="4"/>
        <v>12042</v>
      </c>
      <c r="U17" s="32">
        <f t="shared" si="5"/>
        <v>2.1511200000000001</v>
      </c>
      <c r="V17" s="33"/>
      <c r="W17" s="34"/>
    </row>
    <row r="18" spans="1:23" s="25" customFormat="1" ht="16.5" x14ac:dyDescent="0.25">
      <c r="A18" s="104">
        <v>10</v>
      </c>
      <c r="B18" s="18" t="s">
        <v>182</v>
      </c>
      <c r="C18" s="157">
        <v>857</v>
      </c>
      <c r="D18" s="28">
        <v>24000</v>
      </c>
      <c r="E18" s="30">
        <f t="shared" si="0"/>
        <v>0.13750000000000001</v>
      </c>
      <c r="F18" s="29">
        <v>0.02</v>
      </c>
      <c r="G18" s="31">
        <v>66</v>
      </c>
      <c r="H18" s="37">
        <v>64</v>
      </c>
      <c r="I18" s="37">
        <v>0</v>
      </c>
      <c r="J18" s="29">
        <v>1</v>
      </c>
      <c r="K18" s="31">
        <f t="shared" si="1"/>
        <v>64</v>
      </c>
      <c r="L18" s="37">
        <f t="shared" si="2"/>
        <v>0</v>
      </c>
      <c r="M18" s="29">
        <v>0.06</v>
      </c>
      <c r="N18" s="29">
        <v>0.3</v>
      </c>
      <c r="O18" s="37"/>
      <c r="P18" s="31">
        <v>62</v>
      </c>
      <c r="Q18" s="31"/>
      <c r="R18" s="29">
        <v>1</v>
      </c>
      <c r="S18" s="31">
        <f t="shared" si="3"/>
        <v>62</v>
      </c>
      <c r="T18" s="31">
        <f t="shared" si="4"/>
        <v>192</v>
      </c>
      <c r="U18" s="32">
        <f t="shared" si="5"/>
        <v>0.11122</v>
      </c>
      <c r="V18" s="33"/>
      <c r="W18" s="34"/>
    </row>
    <row r="19" spans="1:23" s="25" customFormat="1" ht="16.5" x14ac:dyDescent="0.25">
      <c r="A19" s="104">
        <v>11</v>
      </c>
      <c r="B19" s="18" t="s">
        <v>183</v>
      </c>
      <c r="C19" s="157">
        <v>3720</v>
      </c>
      <c r="D19" s="28">
        <v>637000</v>
      </c>
      <c r="E19" s="30">
        <f t="shared" si="0"/>
        <v>0.13270000000000001</v>
      </c>
      <c r="F19" s="29">
        <v>0.02</v>
      </c>
      <c r="G19" s="31">
        <v>1691</v>
      </c>
      <c r="H19" s="37">
        <v>1882</v>
      </c>
      <c r="I19" s="37">
        <v>0</v>
      </c>
      <c r="J19" s="29">
        <v>1</v>
      </c>
      <c r="K19" s="31">
        <f t="shared" si="1"/>
        <v>1882</v>
      </c>
      <c r="L19" s="37">
        <f t="shared" si="2"/>
        <v>0</v>
      </c>
      <c r="M19" s="29">
        <v>0.06</v>
      </c>
      <c r="N19" s="29">
        <v>0.3</v>
      </c>
      <c r="O19" s="37"/>
      <c r="P19" s="31">
        <v>6405</v>
      </c>
      <c r="Q19" s="31"/>
      <c r="R19" s="29">
        <v>1</v>
      </c>
      <c r="S19" s="31">
        <f t="shared" si="3"/>
        <v>6405</v>
      </c>
      <c r="T19" s="31">
        <f t="shared" si="4"/>
        <v>9978</v>
      </c>
      <c r="U19" s="32">
        <f t="shared" si="5"/>
        <v>1.3315399999999999</v>
      </c>
      <c r="V19" s="33"/>
      <c r="W19" s="34"/>
    </row>
    <row r="20" spans="1:23" s="25" customFormat="1" ht="16.5" x14ac:dyDescent="0.25">
      <c r="A20" s="104">
        <v>12</v>
      </c>
      <c r="B20" s="18" t="s">
        <v>184</v>
      </c>
      <c r="C20" s="157">
        <v>9405</v>
      </c>
      <c r="D20" s="28">
        <v>802000</v>
      </c>
      <c r="E20" s="30">
        <f t="shared" si="0"/>
        <v>0.1275</v>
      </c>
      <c r="F20" s="29">
        <v>0.02</v>
      </c>
      <c r="G20" s="31">
        <v>2045</v>
      </c>
      <c r="H20" s="37">
        <v>8658</v>
      </c>
      <c r="I20" s="37">
        <v>0</v>
      </c>
      <c r="J20" s="29">
        <v>1</v>
      </c>
      <c r="K20" s="31">
        <f t="shared" si="1"/>
        <v>8658</v>
      </c>
      <c r="L20" s="37">
        <f t="shared" si="2"/>
        <v>0</v>
      </c>
      <c r="M20" s="29">
        <v>0.06</v>
      </c>
      <c r="N20" s="29">
        <v>0.3</v>
      </c>
      <c r="O20" s="37"/>
      <c r="P20" s="31">
        <v>6432</v>
      </c>
      <c r="Q20" s="31"/>
      <c r="R20" s="29">
        <v>1</v>
      </c>
      <c r="S20" s="31">
        <f t="shared" si="3"/>
        <v>6432</v>
      </c>
      <c r="T20" s="31">
        <f t="shared" si="4"/>
        <v>17135</v>
      </c>
      <c r="U20" s="32">
        <f t="shared" si="5"/>
        <v>0.90444000000000002</v>
      </c>
      <c r="V20" s="33"/>
      <c r="W20" s="34"/>
    </row>
    <row r="21" spans="1:23" s="25" customFormat="1" ht="16.5" x14ac:dyDescent="0.25">
      <c r="A21" s="104">
        <v>13</v>
      </c>
      <c r="B21" s="18" t="s">
        <v>185</v>
      </c>
      <c r="C21" s="157">
        <v>3804</v>
      </c>
      <c r="D21" s="28">
        <v>55000</v>
      </c>
      <c r="E21" s="30">
        <f t="shared" si="0"/>
        <v>0.1973</v>
      </c>
      <c r="F21" s="29">
        <v>0.02</v>
      </c>
      <c r="G21" s="31">
        <v>217</v>
      </c>
      <c r="H21" s="37">
        <v>703</v>
      </c>
      <c r="I21" s="37">
        <v>0</v>
      </c>
      <c r="J21" s="29">
        <v>1</v>
      </c>
      <c r="K21" s="31">
        <f t="shared" si="1"/>
        <v>703</v>
      </c>
      <c r="L21" s="37">
        <f t="shared" si="2"/>
        <v>0</v>
      </c>
      <c r="M21" s="29">
        <v>0.06</v>
      </c>
      <c r="N21" s="29">
        <v>0.3</v>
      </c>
      <c r="O21" s="37"/>
      <c r="P21" s="31">
        <v>594</v>
      </c>
      <c r="Q21" s="31"/>
      <c r="R21" s="29">
        <v>1</v>
      </c>
      <c r="S21" s="31">
        <f t="shared" si="3"/>
        <v>594</v>
      </c>
      <c r="T21" s="31">
        <f t="shared" si="4"/>
        <v>1514</v>
      </c>
      <c r="U21" s="32">
        <f t="shared" si="5"/>
        <v>0.19758000000000001</v>
      </c>
      <c r="V21" s="33"/>
      <c r="W21" s="34"/>
    </row>
    <row r="22" spans="1:23" s="25" customFormat="1" ht="16.5" x14ac:dyDescent="0.25">
      <c r="A22" s="104">
        <v>14</v>
      </c>
      <c r="B22" s="18" t="s">
        <v>186</v>
      </c>
      <c r="C22" s="157">
        <v>11012</v>
      </c>
      <c r="D22" s="28">
        <v>1607000</v>
      </c>
      <c r="E22" s="30">
        <f t="shared" si="0"/>
        <v>0.10780000000000001</v>
      </c>
      <c r="F22" s="29">
        <v>0.02</v>
      </c>
      <c r="G22" s="31">
        <v>3465</v>
      </c>
      <c r="H22" s="37">
        <v>12462</v>
      </c>
      <c r="I22" s="37">
        <v>0</v>
      </c>
      <c r="J22" s="29">
        <v>1</v>
      </c>
      <c r="K22" s="31">
        <f t="shared" si="1"/>
        <v>12462</v>
      </c>
      <c r="L22" s="37">
        <f t="shared" si="2"/>
        <v>5222</v>
      </c>
      <c r="M22" s="29">
        <v>0.06</v>
      </c>
      <c r="N22" s="29">
        <v>0.3</v>
      </c>
      <c r="O22" s="37">
        <v>94</v>
      </c>
      <c r="P22" s="31">
        <v>18214</v>
      </c>
      <c r="Q22" s="31"/>
      <c r="R22" s="29">
        <v>1</v>
      </c>
      <c r="S22" s="31">
        <f t="shared" si="3"/>
        <v>18214</v>
      </c>
      <c r="T22" s="31">
        <f t="shared" si="4"/>
        <v>34235</v>
      </c>
      <c r="U22" s="32">
        <f t="shared" si="5"/>
        <v>1.5433300000000001</v>
      </c>
      <c r="V22" s="33"/>
      <c r="W22" s="34"/>
    </row>
    <row r="23" spans="1:23" s="25" customFormat="1" ht="16.5" x14ac:dyDescent="0.25">
      <c r="A23" s="105">
        <v>15</v>
      </c>
      <c r="B23" s="18" t="s">
        <v>187</v>
      </c>
      <c r="C23" s="157">
        <v>1438</v>
      </c>
      <c r="D23" s="28">
        <v>157000</v>
      </c>
      <c r="E23" s="30">
        <f t="shared" si="0"/>
        <v>0.1089</v>
      </c>
      <c r="F23" s="29">
        <v>0.02</v>
      </c>
      <c r="G23" s="31">
        <v>342</v>
      </c>
      <c r="H23" s="37">
        <v>354</v>
      </c>
      <c r="I23" s="37">
        <v>0</v>
      </c>
      <c r="J23" s="29">
        <v>1</v>
      </c>
      <c r="K23" s="31">
        <f t="shared" si="1"/>
        <v>354</v>
      </c>
      <c r="L23" s="37">
        <f t="shared" si="2"/>
        <v>0</v>
      </c>
      <c r="M23" s="29">
        <v>0.06</v>
      </c>
      <c r="N23" s="29">
        <v>0.3</v>
      </c>
      <c r="O23" s="37"/>
      <c r="P23" s="31">
        <v>1537</v>
      </c>
      <c r="Q23" s="31"/>
      <c r="R23" s="29">
        <v>1</v>
      </c>
      <c r="S23" s="31">
        <f t="shared" si="3"/>
        <v>1537</v>
      </c>
      <c r="T23" s="31">
        <f t="shared" si="4"/>
        <v>2233</v>
      </c>
      <c r="U23" s="32">
        <f t="shared" si="5"/>
        <v>0.77087000000000006</v>
      </c>
      <c r="V23" s="33"/>
      <c r="W23" s="34"/>
    </row>
    <row r="24" spans="1:23" s="95" customFormat="1" ht="17.25" customHeight="1" x14ac:dyDescent="0.25">
      <c r="A24" s="178" t="s">
        <v>0</v>
      </c>
      <c r="B24" s="178"/>
      <c r="C24" s="165">
        <f>SUM(C9:C23)</f>
        <v>61102</v>
      </c>
      <c r="D24" s="165">
        <f>SUM(D9:D23)</f>
        <v>5848000</v>
      </c>
      <c r="E24" s="131" t="s">
        <v>5</v>
      </c>
      <c r="F24" s="131" t="s">
        <v>5</v>
      </c>
      <c r="G24" s="165">
        <f>SUM(G9:G23)</f>
        <v>14957</v>
      </c>
      <c r="H24" s="165">
        <f>SUM(H9:H23)</f>
        <v>38937</v>
      </c>
      <c r="I24" s="139">
        <f>SUM(I9:I23)</f>
        <v>0</v>
      </c>
      <c r="J24" s="131" t="s">
        <v>5</v>
      </c>
      <c r="K24" s="165">
        <f>SUM(K9:K23)</f>
        <v>38937</v>
      </c>
      <c r="L24" s="165">
        <f>SUM(L9:L23)</f>
        <v>81222</v>
      </c>
      <c r="M24" s="131" t="s">
        <v>5</v>
      </c>
      <c r="N24" s="131" t="s">
        <v>5</v>
      </c>
      <c r="O24" s="139">
        <f>SUM(O9:O23)</f>
        <v>1462</v>
      </c>
      <c r="P24" s="165">
        <f>SUM(P9:P23)</f>
        <v>67728</v>
      </c>
      <c r="Q24" s="165">
        <f>SUM(Q9:Q23)</f>
        <v>0</v>
      </c>
      <c r="R24" s="131" t="s">
        <v>5</v>
      </c>
      <c r="S24" s="165">
        <f>SUM(S9:S23)</f>
        <v>67728</v>
      </c>
      <c r="T24" s="165">
        <f>SUM(T9:T23)</f>
        <v>123084</v>
      </c>
      <c r="U24" s="146">
        <f t="shared" ref="U24" si="6">(T24/C24)/($T$24/$C$24)</f>
        <v>1</v>
      </c>
    </row>
    <row r="25" spans="1:23" s="25" customFormat="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23" s="25" customForma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23" s="25" customFormat="1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23" s="25" customFormat="1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23" s="25" customFormat="1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23" s="25" customFormat="1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23" s="25" customFormat="1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23" s="25" customFormat="1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s="25" customForma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s="25" customFormat="1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s="25" customFormat="1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s="25" customForma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s="25" customForma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s="25" customFormat="1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s="25" customFormat="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s="25" customFormat="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s="25" customFormat="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s="25" customFormat="1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s="25" customFormat="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25" customFormat="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</sheetData>
  <mergeCells count="28">
    <mergeCell ref="R5:R6"/>
    <mergeCell ref="T4:T6"/>
    <mergeCell ref="U4:U6"/>
    <mergeCell ref="A24:B24"/>
    <mergeCell ref="A8:B8"/>
    <mergeCell ref="A4:A6"/>
    <mergeCell ref="C4:C6"/>
    <mergeCell ref="A7:B7"/>
    <mergeCell ref="B4:B6"/>
    <mergeCell ref="G5:G6"/>
    <mergeCell ref="P4:S4"/>
    <mergeCell ref="P5:P6"/>
    <mergeCell ref="Q5:Q6"/>
    <mergeCell ref="S5:S6"/>
    <mergeCell ref="D4:G4"/>
    <mergeCell ref="H5:H6"/>
    <mergeCell ref="H4:K4"/>
    <mergeCell ref="I5:I6"/>
    <mergeCell ref="L4:O4"/>
    <mergeCell ref="L5:L6"/>
    <mergeCell ref="O5:O6"/>
    <mergeCell ref="J5:J6"/>
    <mergeCell ref="F5:F6"/>
    <mergeCell ref="D5:D6"/>
    <mergeCell ref="E5:E6"/>
    <mergeCell ref="N5:N6"/>
    <mergeCell ref="M5:M6"/>
    <mergeCell ref="K5:K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71"/>
  <sheetViews>
    <sheetView zoomScale="80" zoomScaleNormal="80" zoomScaleSheetLayoutView="70" workbookViewId="0">
      <pane xSplit="3" topLeftCell="AK1" activePane="topRight" state="frozenSplit"/>
      <selection activeCell="A4" sqref="A4"/>
      <selection pane="topRight" activeCell="AP11" sqref="AP11"/>
    </sheetView>
  </sheetViews>
  <sheetFormatPr defaultColWidth="8.83203125" defaultRowHeight="12.75" x14ac:dyDescent="0.2"/>
  <cols>
    <col min="1" max="1" width="5.1640625" style="1" customWidth="1"/>
    <col min="2" max="2" width="29.33203125" style="1" customWidth="1"/>
    <col min="3" max="3" width="20.5" style="1" customWidth="1"/>
    <col min="4" max="8" width="16.83203125" style="1" customWidth="1"/>
    <col min="9" max="9" width="24.1640625" style="1" customWidth="1"/>
    <col min="10" max="10" width="16.83203125" style="1" customWidth="1"/>
    <col min="11" max="12" width="24.1640625" style="1" customWidth="1"/>
    <col min="13" max="13" width="16.83203125" style="1" customWidth="1"/>
    <col min="14" max="14" width="45.83203125" style="1" customWidth="1"/>
    <col min="15" max="15" width="16.83203125" style="1" customWidth="1"/>
    <col min="16" max="16" width="18.1640625" style="1" customWidth="1"/>
    <col min="17" max="25" width="16.83203125" style="1" customWidth="1"/>
    <col min="26" max="26" width="17.832031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customWidth="1"/>
    <col min="32" max="32" width="14" style="1" customWidth="1"/>
    <col min="33" max="34" width="18.1640625" style="1" customWidth="1"/>
    <col min="35" max="35" width="18.83203125" style="1" customWidth="1"/>
    <col min="36" max="37" width="18.1640625" style="1" customWidth="1"/>
    <col min="38" max="38" width="21" style="1" customWidth="1"/>
    <col min="39" max="39" width="17.6640625" style="1" customWidth="1"/>
    <col min="40" max="40" width="15" style="1" customWidth="1"/>
    <col min="41" max="41" width="22" style="1" customWidth="1"/>
    <col min="42" max="42" width="22.1640625" style="1" customWidth="1"/>
    <col min="43" max="43" width="19.1640625" style="1" customWidth="1"/>
    <col min="44" max="44" width="26.5" style="1" customWidth="1"/>
    <col min="45" max="45" width="12.33203125" style="1" customWidth="1"/>
    <col min="46" max="270" width="8.83203125" style="1"/>
    <col min="271" max="271" width="5.1640625" style="1" customWidth="1"/>
    <col min="272" max="272" width="29.33203125" style="1" customWidth="1"/>
    <col min="273" max="273" width="20.5" style="1" customWidth="1"/>
    <col min="274" max="274" width="16.83203125" style="1" customWidth="1"/>
    <col min="275" max="275" width="17.83203125" style="1" customWidth="1"/>
    <col min="276" max="276" width="14.83203125" style="1" customWidth="1"/>
    <col min="277" max="277" width="16.1640625" style="1" customWidth="1"/>
    <col min="278" max="278" width="0.1640625" style="1" customWidth="1"/>
    <col min="279" max="279" width="16.5" style="1" customWidth="1"/>
    <col min="280" max="280" width="18.83203125" style="1" customWidth="1"/>
    <col min="281" max="282" width="0" style="1" hidden="1" customWidth="1"/>
    <col min="283" max="283" width="13.83203125" style="1" customWidth="1"/>
    <col min="284" max="284" width="13.1640625" style="1" customWidth="1"/>
    <col min="285" max="285" width="0" style="1" hidden="1" customWidth="1"/>
    <col min="286" max="286" width="18.1640625" style="1" customWidth="1"/>
    <col min="287" max="287" width="16.5" style="1" customWidth="1"/>
    <col min="288" max="288" width="45.83203125" style="1" customWidth="1"/>
    <col min="289" max="289" width="44.1640625" style="1" customWidth="1"/>
    <col min="290" max="290" width="17" style="1" customWidth="1"/>
    <col min="291" max="291" width="20.1640625" style="1" customWidth="1"/>
    <col min="292" max="292" width="15.5" style="1" customWidth="1"/>
    <col min="293" max="293" width="19.83203125" style="1" customWidth="1"/>
    <col min="294" max="294" width="15.83203125" style="1" customWidth="1"/>
    <col min="295" max="297" width="19.33203125" style="1" customWidth="1"/>
    <col min="298" max="298" width="22.1640625" style="1" customWidth="1"/>
    <col min="299" max="299" width="19.1640625" style="1" customWidth="1"/>
    <col min="300" max="300" width="25.1640625" style="1" customWidth="1"/>
    <col min="301" max="301" width="12.33203125" style="1" customWidth="1"/>
    <col min="302" max="526" width="8.83203125" style="1"/>
    <col min="527" max="527" width="5.1640625" style="1" customWidth="1"/>
    <col min="528" max="528" width="29.33203125" style="1" customWidth="1"/>
    <col min="529" max="529" width="20.5" style="1" customWidth="1"/>
    <col min="530" max="530" width="16.83203125" style="1" customWidth="1"/>
    <col min="531" max="531" width="17.83203125" style="1" customWidth="1"/>
    <col min="532" max="532" width="14.83203125" style="1" customWidth="1"/>
    <col min="533" max="533" width="16.1640625" style="1" customWidth="1"/>
    <col min="534" max="534" width="0.1640625" style="1" customWidth="1"/>
    <col min="535" max="535" width="16.5" style="1" customWidth="1"/>
    <col min="536" max="536" width="18.83203125" style="1" customWidth="1"/>
    <col min="537" max="538" width="0" style="1" hidden="1" customWidth="1"/>
    <col min="539" max="539" width="13.83203125" style="1" customWidth="1"/>
    <col min="540" max="540" width="13.1640625" style="1" customWidth="1"/>
    <col min="541" max="541" width="0" style="1" hidden="1" customWidth="1"/>
    <col min="542" max="542" width="18.1640625" style="1" customWidth="1"/>
    <col min="543" max="543" width="16.5" style="1" customWidth="1"/>
    <col min="544" max="544" width="45.83203125" style="1" customWidth="1"/>
    <col min="545" max="545" width="44.1640625" style="1" customWidth="1"/>
    <col min="546" max="546" width="17" style="1" customWidth="1"/>
    <col min="547" max="547" width="20.1640625" style="1" customWidth="1"/>
    <col min="548" max="548" width="15.5" style="1" customWidth="1"/>
    <col min="549" max="549" width="19.83203125" style="1" customWidth="1"/>
    <col min="550" max="550" width="15.83203125" style="1" customWidth="1"/>
    <col min="551" max="553" width="19.33203125" style="1" customWidth="1"/>
    <col min="554" max="554" width="22.1640625" style="1" customWidth="1"/>
    <col min="555" max="555" width="19.1640625" style="1" customWidth="1"/>
    <col min="556" max="556" width="25.1640625" style="1" customWidth="1"/>
    <col min="557" max="557" width="12.33203125" style="1" customWidth="1"/>
    <col min="558" max="782" width="8.83203125" style="1"/>
    <col min="783" max="783" width="5.1640625" style="1" customWidth="1"/>
    <col min="784" max="784" width="29.33203125" style="1" customWidth="1"/>
    <col min="785" max="785" width="20.5" style="1" customWidth="1"/>
    <col min="786" max="786" width="16.83203125" style="1" customWidth="1"/>
    <col min="787" max="787" width="17.83203125" style="1" customWidth="1"/>
    <col min="788" max="788" width="14.83203125" style="1" customWidth="1"/>
    <col min="789" max="789" width="16.1640625" style="1" customWidth="1"/>
    <col min="790" max="790" width="0.1640625" style="1" customWidth="1"/>
    <col min="791" max="791" width="16.5" style="1" customWidth="1"/>
    <col min="792" max="792" width="18.83203125" style="1" customWidth="1"/>
    <col min="793" max="794" width="0" style="1" hidden="1" customWidth="1"/>
    <col min="795" max="795" width="13.83203125" style="1" customWidth="1"/>
    <col min="796" max="796" width="13.1640625" style="1" customWidth="1"/>
    <col min="797" max="797" width="0" style="1" hidden="1" customWidth="1"/>
    <col min="798" max="798" width="18.1640625" style="1" customWidth="1"/>
    <col min="799" max="799" width="16.5" style="1" customWidth="1"/>
    <col min="800" max="800" width="45.83203125" style="1" customWidth="1"/>
    <col min="801" max="801" width="44.1640625" style="1" customWidth="1"/>
    <col min="802" max="802" width="17" style="1" customWidth="1"/>
    <col min="803" max="803" width="20.1640625" style="1" customWidth="1"/>
    <col min="804" max="804" width="15.5" style="1" customWidth="1"/>
    <col min="805" max="805" width="19.83203125" style="1" customWidth="1"/>
    <col min="806" max="806" width="15.83203125" style="1" customWidth="1"/>
    <col min="807" max="809" width="19.33203125" style="1" customWidth="1"/>
    <col min="810" max="810" width="22.1640625" style="1" customWidth="1"/>
    <col min="811" max="811" width="19.1640625" style="1" customWidth="1"/>
    <col min="812" max="812" width="25.1640625" style="1" customWidth="1"/>
    <col min="813" max="813" width="12.33203125" style="1" customWidth="1"/>
    <col min="814" max="1038" width="8.83203125" style="1"/>
    <col min="1039" max="1039" width="5.1640625" style="1" customWidth="1"/>
    <col min="1040" max="1040" width="29.33203125" style="1" customWidth="1"/>
    <col min="1041" max="1041" width="20.5" style="1" customWidth="1"/>
    <col min="1042" max="1042" width="16.83203125" style="1" customWidth="1"/>
    <col min="1043" max="1043" width="17.83203125" style="1" customWidth="1"/>
    <col min="1044" max="1044" width="14.83203125" style="1" customWidth="1"/>
    <col min="1045" max="1045" width="16.1640625" style="1" customWidth="1"/>
    <col min="1046" max="1046" width="0.1640625" style="1" customWidth="1"/>
    <col min="1047" max="1047" width="16.5" style="1" customWidth="1"/>
    <col min="1048" max="1048" width="18.83203125" style="1" customWidth="1"/>
    <col min="1049" max="1050" width="0" style="1" hidden="1" customWidth="1"/>
    <col min="1051" max="1051" width="13.83203125" style="1" customWidth="1"/>
    <col min="1052" max="1052" width="13.1640625" style="1" customWidth="1"/>
    <col min="1053" max="1053" width="0" style="1" hidden="1" customWidth="1"/>
    <col min="1054" max="1054" width="18.1640625" style="1" customWidth="1"/>
    <col min="1055" max="1055" width="16.5" style="1" customWidth="1"/>
    <col min="1056" max="1056" width="45.83203125" style="1" customWidth="1"/>
    <col min="1057" max="1057" width="44.1640625" style="1" customWidth="1"/>
    <col min="1058" max="1058" width="17" style="1" customWidth="1"/>
    <col min="1059" max="1059" width="20.1640625" style="1" customWidth="1"/>
    <col min="1060" max="1060" width="15.5" style="1" customWidth="1"/>
    <col min="1061" max="1061" width="19.83203125" style="1" customWidth="1"/>
    <col min="1062" max="1062" width="15.83203125" style="1" customWidth="1"/>
    <col min="1063" max="1065" width="19.33203125" style="1" customWidth="1"/>
    <col min="1066" max="1066" width="22.1640625" style="1" customWidth="1"/>
    <col min="1067" max="1067" width="19.1640625" style="1" customWidth="1"/>
    <col min="1068" max="1068" width="25.1640625" style="1" customWidth="1"/>
    <col min="1069" max="1069" width="12.33203125" style="1" customWidth="1"/>
    <col min="1070" max="1294" width="8.83203125" style="1"/>
    <col min="1295" max="1295" width="5.1640625" style="1" customWidth="1"/>
    <col min="1296" max="1296" width="29.33203125" style="1" customWidth="1"/>
    <col min="1297" max="1297" width="20.5" style="1" customWidth="1"/>
    <col min="1298" max="1298" width="16.83203125" style="1" customWidth="1"/>
    <col min="1299" max="1299" width="17.83203125" style="1" customWidth="1"/>
    <col min="1300" max="1300" width="14.83203125" style="1" customWidth="1"/>
    <col min="1301" max="1301" width="16.1640625" style="1" customWidth="1"/>
    <col min="1302" max="1302" width="0.1640625" style="1" customWidth="1"/>
    <col min="1303" max="1303" width="16.5" style="1" customWidth="1"/>
    <col min="1304" max="1304" width="18.83203125" style="1" customWidth="1"/>
    <col min="1305" max="1306" width="0" style="1" hidden="1" customWidth="1"/>
    <col min="1307" max="1307" width="13.83203125" style="1" customWidth="1"/>
    <col min="1308" max="1308" width="13.1640625" style="1" customWidth="1"/>
    <col min="1309" max="1309" width="0" style="1" hidden="1" customWidth="1"/>
    <col min="1310" max="1310" width="18.1640625" style="1" customWidth="1"/>
    <col min="1311" max="1311" width="16.5" style="1" customWidth="1"/>
    <col min="1312" max="1312" width="45.83203125" style="1" customWidth="1"/>
    <col min="1313" max="1313" width="44.1640625" style="1" customWidth="1"/>
    <col min="1314" max="1314" width="17" style="1" customWidth="1"/>
    <col min="1315" max="1315" width="20.1640625" style="1" customWidth="1"/>
    <col min="1316" max="1316" width="15.5" style="1" customWidth="1"/>
    <col min="1317" max="1317" width="19.83203125" style="1" customWidth="1"/>
    <col min="1318" max="1318" width="15.83203125" style="1" customWidth="1"/>
    <col min="1319" max="1321" width="19.33203125" style="1" customWidth="1"/>
    <col min="1322" max="1322" width="22.1640625" style="1" customWidth="1"/>
    <col min="1323" max="1323" width="19.1640625" style="1" customWidth="1"/>
    <col min="1324" max="1324" width="25.1640625" style="1" customWidth="1"/>
    <col min="1325" max="1325" width="12.33203125" style="1" customWidth="1"/>
    <col min="1326" max="1550" width="8.83203125" style="1"/>
    <col min="1551" max="1551" width="5.1640625" style="1" customWidth="1"/>
    <col min="1552" max="1552" width="29.33203125" style="1" customWidth="1"/>
    <col min="1553" max="1553" width="20.5" style="1" customWidth="1"/>
    <col min="1554" max="1554" width="16.83203125" style="1" customWidth="1"/>
    <col min="1555" max="1555" width="17.83203125" style="1" customWidth="1"/>
    <col min="1556" max="1556" width="14.83203125" style="1" customWidth="1"/>
    <col min="1557" max="1557" width="16.1640625" style="1" customWidth="1"/>
    <col min="1558" max="1558" width="0.1640625" style="1" customWidth="1"/>
    <col min="1559" max="1559" width="16.5" style="1" customWidth="1"/>
    <col min="1560" max="1560" width="18.83203125" style="1" customWidth="1"/>
    <col min="1561" max="1562" width="0" style="1" hidden="1" customWidth="1"/>
    <col min="1563" max="1563" width="13.83203125" style="1" customWidth="1"/>
    <col min="1564" max="1564" width="13.1640625" style="1" customWidth="1"/>
    <col min="1565" max="1565" width="0" style="1" hidden="1" customWidth="1"/>
    <col min="1566" max="1566" width="18.1640625" style="1" customWidth="1"/>
    <col min="1567" max="1567" width="16.5" style="1" customWidth="1"/>
    <col min="1568" max="1568" width="45.83203125" style="1" customWidth="1"/>
    <col min="1569" max="1569" width="44.1640625" style="1" customWidth="1"/>
    <col min="1570" max="1570" width="17" style="1" customWidth="1"/>
    <col min="1571" max="1571" width="20.1640625" style="1" customWidth="1"/>
    <col min="1572" max="1572" width="15.5" style="1" customWidth="1"/>
    <col min="1573" max="1573" width="19.83203125" style="1" customWidth="1"/>
    <col min="1574" max="1574" width="15.83203125" style="1" customWidth="1"/>
    <col min="1575" max="1577" width="19.33203125" style="1" customWidth="1"/>
    <col min="1578" max="1578" width="22.1640625" style="1" customWidth="1"/>
    <col min="1579" max="1579" width="19.1640625" style="1" customWidth="1"/>
    <col min="1580" max="1580" width="25.1640625" style="1" customWidth="1"/>
    <col min="1581" max="1581" width="12.33203125" style="1" customWidth="1"/>
    <col min="1582" max="1806" width="8.83203125" style="1"/>
    <col min="1807" max="1807" width="5.1640625" style="1" customWidth="1"/>
    <col min="1808" max="1808" width="29.33203125" style="1" customWidth="1"/>
    <col min="1809" max="1809" width="20.5" style="1" customWidth="1"/>
    <col min="1810" max="1810" width="16.83203125" style="1" customWidth="1"/>
    <col min="1811" max="1811" width="17.83203125" style="1" customWidth="1"/>
    <col min="1812" max="1812" width="14.83203125" style="1" customWidth="1"/>
    <col min="1813" max="1813" width="16.1640625" style="1" customWidth="1"/>
    <col min="1814" max="1814" width="0.1640625" style="1" customWidth="1"/>
    <col min="1815" max="1815" width="16.5" style="1" customWidth="1"/>
    <col min="1816" max="1816" width="18.83203125" style="1" customWidth="1"/>
    <col min="1817" max="1818" width="0" style="1" hidden="1" customWidth="1"/>
    <col min="1819" max="1819" width="13.83203125" style="1" customWidth="1"/>
    <col min="1820" max="1820" width="13.1640625" style="1" customWidth="1"/>
    <col min="1821" max="1821" width="0" style="1" hidden="1" customWidth="1"/>
    <col min="1822" max="1822" width="18.1640625" style="1" customWidth="1"/>
    <col min="1823" max="1823" width="16.5" style="1" customWidth="1"/>
    <col min="1824" max="1824" width="45.83203125" style="1" customWidth="1"/>
    <col min="1825" max="1825" width="44.1640625" style="1" customWidth="1"/>
    <col min="1826" max="1826" width="17" style="1" customWidth="1"/>
    <col min="1827" max="1827" width="20.1640625" style="1" customWidth="1"/>
    <col min="1828" max="1828" width="15.5" style="1" customWidth="1"/>
    <col min="1829" max="1829" width="19.83203125" style="1" customWidth="1"/>
    <col min="1830" max="1830" width="15.83203125" style="1" customWidth="1"/>
    <col min="1831" max="1833" width="19.33203125" style="1" customWidth="1"/>
    <col min="1834" max="1834" width="22.1640625" style="1" customWidth="1"/>
    <col min="1835" max="1835" width="19.1640625" style="1" customWidth="1"/>
    <col min="1836" max="1836" width="25.1640625" style="1" customWidth="1"/>
    <col min="1837" max="1837" width="12.33203125" style="1" customWidth="1"/>
    <col min="1838" max="2062" width="8.83203125" style="1"/>
    <col min="2063" max="2063" width="5.1640625" style="1" customWidth="1"/>
    <col min="2064" max="2064" width="29.33203125" style="1" customWidth="1"/>
    <col min="2065" max="2065" width="20.5" style="1" customWidth="1"/>
    <col min="2066" max="2066" width="16.83203125" style="1" customWidth="1"/>
    <col min="2067" max="2067" width="17.83203125" style="1" customWidth="1"/>
    <col min="2068" max="2068" width="14.83203125" style="1" customWidth="1"/>
    <col min="2069" max="2069" width="16.1640625" style="1" customWidth="1"/>
    <col min="2070" max="2070" width="0.1640625" style="1" customWidth="1"/>
    <col min="2071" max="2071" width="16.5" style="1" customWidth="1"/>
    <col min="2072" max="2072" width="18.83203125" style="1" customWidth="1"/>
    <col min="2073" max="2074" width="0" style="1" hidden="1" customWidth="1"/>
    <col min="2075" max="2075" width="13.83203125" style="1" customWidth="1"/>
    <col min="2076" max="2076" width="13.1640625" style="1" customWidth="1"/>
    <col min="2077" max="2077" width="0" style="1" hidden="1" customWidth="1"/>
    <col min="2078" max="2078" width="18.1640625" style="1" customWidth="1"/>
    <col min="2079" max="2079" width="16.5" style="1" customWidth="1"/>
    <col min="2080" max="2080" width="45.83203125" style="1" customWidth="1"/>
    <col min="2081" max="2081" width="44.1640625" style="1" customWidth="1"/>
    <col min="2082" max="2082" width="17" style="1" customWidth="1"/>
    <col min="2083" max="2083" width="20.1640625" style="1" customWidth="1"/>
    <col min="2084" max="2084" width="15.5" style="1" customWidth="1"/>
    <col min="2085" max="2085" width="19.83203125" style="1" customWidth="1"/>
    <col min="2086" max="2086" width="15.83203125" style="1" customWidth="1"/>
    <col min="2087" max="2089" width="19.33203125" style="1" customWidth="1"/>
    <col min="2090" max="2090" width="22.1640625" style="1" customWidth="1"/>
    <col min="2091" max="2091" width="19.1640625" style="1" customWidth="1"/>
    <col min="2092" max="2092" width="25.1640625" style="1" customWidth="1"/>
    <col min="2093" max="2093" width="12.33203125" style="1" customWidth="1"/>
    <col min="2094" max="2318" width="8.83203125" style="1"/>
    <col min="2319" max="2319" width="5.1640625" style="1" customWidth="1"/>
    <col min="2320" max="2320" width="29.33203125" style="1" customWidth="1"/>
    <col min="2321" max="2321" width="20.5" style="1" customWidth="1"/>
    <col min="2322" max="2322" width="16.83203125" style="1" customWidth="1"/>
    <col min="2323" max="2323" width="17.83203125" style="1" customWidth="1"/>
    <col min="2324" max="2324" width="14.83203125" style="1" customWidth="1"/>
    <col min="2325" max="2325" width="16.1640625" style="1" customWidth="1"/>
    <col min="2326" max="2326" width="0.1640625" style="1" customWidth="1"/>
    <col min="2327" max="2327" width="16.5" style="1" customWidth="1"/>
    <col min="2328" max="2328" width="18.83203125" style="1" customWidth="1"/>
    <col min="2329" max="2330" width="0" style="1" hidden="1" customWidth="1"/>
    <col min="2331" max="2331" width="13.83203125" style="1" customWidth="1"/>
    <col min="2332" max="2332" width="13.1640625" style="1" customWidth="1"/>
    <col min="2333" max="2333" width="0" style="1" hidden="1" customWidth="1"/>
    <col min="2334" max="2334" width="18.1640625" style="1" customWidth="1"/>
    <col min="2335" max="2335" width="16.5" style="1" customWidth="1"/>
    <col min="2336" max="2336" width="45.83203125" style="1" customWidth="1"/>
    <col min="2337" max="2337" width="44.1640625" style="1" customWidth="1"/>
    <col min="2338" max="2338" width="17" style="1" customWidth="1"/>
    <col min="2339" max="2339" width="20.1640625" style="1" customWidth="1"/>
    <col min="2340" max="2340" width="15.5" style="1" customWidth="1"/>
    <col min="2341" max="2341" width="19.83203125" style="1" customWidth="1"/>
    <col min="2342" max="2342" width="15.83203125" style="1" customWidth="1"/>
    <col min="2343" max="2345" width="19.33203125" style="1" customWidth="1"/>
    <col min="2346" max="2346" width="22.1640625" style="1" customWidth="1"/>
    <col min="2347" max="2347" width="19.1640625" style="1" customWidth="1"/>
    <col min="2348" max="2348" width="25.1640625" style="1" customWidth="1"/>
    <col min="2349" max="2349" width="12.33203125" style="1" customWidth="1"/>
    <col min="2350" max="2574" width="8.83203125" style="1"/>
    <col min="2575" max="2575" width="5.1640625" style="1" customWidth="1"/>
    <col min="2576" max="2576" width="29.33203125" style="1" customWidth="1"/>
    <col min="2577" max="2577" width="20.5" style="1" customWidth="1"/>
    <col min="2578" max="2578" width="16.83203125" style="1" customWidth="1"/>
    <col min="2579" max="2579" width="17.83203125" style="1" customWidth="1"/>
    <col min="2580" max="2580" width="14.83203125" style="1" customWidth="1"/>
    <col min="2581" max="2581" width="16.1640625" style="1" customWidth="1"/>
    <col min="2582" max="2582" width="0.1640625" style="1" customWidth="1"/>
    <col min="2583" max="2583" width="16.5" style="1" customWidth="1"/>
    <col min="2584" max="2584" width="18.83203125" style="1" customWidth="1"/>
    <col min="2585" max="2586" width="0" style="1" hidden="1" customWidth="1"/>
    <col min="2587" max="2587" width="13.83203125" style="1" customWidth="1"/>
    <col min="2588" max="2588" width="13.1640625" style="1" customWidth="1"/>
    <col min="2589" max="2589" width="0" style="1" hidden="1" customWidth="1"/>
    <col min="2590" max="2590" width="18.1640625" style="1" customWidth="1"/>
    <col min="2591" max="2591" width="16.5" style="1" customWidth="1"/>
    <col min="2592" max="2592" width="45.83203125" style="1" customWidth="1"/>
    <col min="2593" max="2593" width="44.1640625" style="1" customWidth="1"/>
    <col min="2594" max="2594" width="17" style="1" customWidth="1"/>
    <col min="2595" max="2595" width="20.1640625" style="1" customWidth="1"/>
    <col min="2596" max="2596" width="15.5" style="1" customWidth="1"/>
    <col min="2597" max="2597" width="19.83203125" style="1" customWidth="1"/>
    <col min="2598" max="2598" width="15.83203125" style="1" customWidth="1"/>
    <col min="2599" max="2601" width="19.33203125" style="1" customWidth="1"/>
    <col min="2602" max="2602" width="22.1640625" style="1" customWidth="1"/>
    <col min="2603" max="2603" width="19.1640625" style="1" customWidth="1"/>
    <col min="2604" max="2604" width="25.1640625" style="1" customWidth="1"/>
    <col min="2605" max="2605" width="12.33203125" style="1" customWidth="1"/>
    <col min="2606" max="2830" width="8.83203125" style="1"/>
    <col min="2831" max="2831" width="5.1640625" style="1" customWidth="1"/>
    <col min="2832" max="2832" width="29.33203125" style="1" customWidth="1"/>
    <col min="2833" max="2833" width="20.5" style="1" customWidth="1"/>
    <col min="2834" max="2834" width="16.83203125" style="1" customWidth="1"/>
    <col min="2835" max="2835" width="17.83203125" style="1" customWidth="1"/>
    <col min="2836" max="2836" width="14.83203125" style="1" customWidth="1"/>
    <col min="2837" max="2837" width="16.1640625" style="1" customWidth="1"/>
    <col min="2838" max="2838" width="0.1640625" style="1" customWidth="1"/>
    <col min="2839" max="2839" width="16.5" style="1" customWidth="1"/>
    <col min="2840" max="2840" width="18.83203125" style="1" customWidth="1"/>
    <col min="2841" max="2842" width="0" style="1" hidden="1" customWidth="1"/>
    <col min="2843" max="2843" width="13.83203125" style="1" customWidth="1"/>
    <col min="2844" max="2844" width="13.1640625" style="1" customWidth="1"/>
    <col min="2845" max="2845" width="0" style="1" hidden="1" customWidth="1"/>
    <col min="2846" max="2846" width="18.1640625" style="1" customWidth="1"/>
    <col min="2847" max="2847" width="16.5" style="1" customWidth="1"/>
    <col min="2848" max="2848" width="45.83203125" style="1" customWidth="1"/>
    <col min="2849" max="2849" width="44.1640625" style="1" customWidth="1"/>
    <col min="2850" max="2850" width="17" style="1" customWidth="1"/>
    <col min="2851" max="2851" width="20.1640625" style="1" customWidth="1"/>
    <col min="2852" max="2852" width="15.5" style="1" customWidth="1"/>
    <col min="2853" max="2853" width="19.83203125" style="1" customWidth="1"/>
    <col min="2854" max="2854" width="15.83203125" style="1" customWidth="1"/>
    <col min="2855" max="2857" width="19.33203125" style="1" customWidth="1"/>
    <col min="2858" max="2858" width="22.1640625" style="1" customWidth="1"/>
    <col min="2859" max="2859" width="19.1640625" style="1" customWidth="1"/>
    <col min="2860" max="2860" width="25.1640625" style="1" customWidth="1"/>
    <col min="2861" max="2861" width="12.33203125" style="1" customWidth="1"/>
    <col min="2862" max="3086" width="8.83203125" style="1"/>
    <col min="3087" max="3087" width="5.1640625" style="1" customWidth="1"/>
    <col min="3088" max="3088" width="29.33203125" style="1" customWidth="1"/>
    <col min="3089" max="3089" width="20.5" style="1" customWidth="1"/>
    <col min="3090" max="3090" width="16.83203125" style="1" customWidth="1"/>
    <col min="3091" max="3091" width="17.83203125" style="1" customWidth="1"/>
    <col min="3092" max="3092" width="14.83203125" style="1" customWidth="1"/>
    <col min="3093" max="3093" width="16.1640625" style="1" customWidth="1"/>
    <col min="3094" max="3094" width="0.1640625" style="1" customWidth="1"/>
    <col min="3095" max="3095" width="16.5" style="1" customWidth="1"/>
    <col min="3096" max="3096" width="18.83203125" style="1" customWidth="1"/>
    <col min="3097" max="3098" width="0" style="1" hidden="1" customWidth="1"/>
    <col min="3099" max="3099" width="13.83203125" style="1" customWidth="1"/>
    <col min="3100" max="3100" width="13.1640625" style="1" customWidth="1"/>
    <col min="3101" max="3101" width="0" style="1" hidden="1" customWidth="1"/>
    <col min="3102" max="3102" width="18.1640625" style="1" customWidth="1"/>
    <col min="3103" max="3103" width="16.5" style="1" customWidth="1"/>
    <col min="3104" max="3104" width="45.83203125" style="1" customWidth="1"/>
    <col min="3105" max="3105" width="44.1640625" style="1" customWidth="1"/>
    <col min="3106" max="3106" width="17" style="1" customWidth="1"/>
    <col min="3107" max="3107" width="20.1640625" style="1" customWidth="1"/>
    <col min="3108" max="3108" width="15.5" style="1" customWidth="1"/>
    <col min="3109" max="3109" width="19.83203125" style="1" customWidth="1"/>
    <col min="3110" max="3110" width="15.83203125" style="1" customWidth="1"/>
    <col min="3111" max="3113" width="19.33203125" style="1" customWidth="1"/>
    <col min="3114" max="3114" width="22.1640625" style="1" customWidth="1"/>
    <col min="3115" max="3115" width="19.1640625" style="1" customWidth="1"/>
    <col min="3116" max="3116" width="25.1640625" style="1" customWidth="1"/>
    <col min="3117" max="3117" width="12.33203125" style="1" customWidth="1"/>
    <col min="3118" max="3342" width="8.83203125" style="1"/>
    <col min="3343" max="3343" width="5.1640625" style="1" customWidth="1"/>
    <col min="3344" max="3344" width="29.33203125" style="1" customWidth="1"/>
    <col min="3345" max="3345" width="20.5" style="1" customWidth="1"/>
    <col min="3346" max="3346" width="16.83203125" style="1" customWidth="1"/>
    <col min="3347" max="3347" width="17.83203125" style="1" customWidth="1"/>
    <col min="3348" max="3348" width="14.83203125" style="1" customWidth="1"/>
    <col min="3349" max="3349" width="16.1640625" style="1" customWidth="1"/>
    <col min="3350" max="3350" width="0.1640625" style="1" customWidth="1"/>
    <col min="3351" max="3351" width="16.5" style="1" customWidth="1"/>
    <col min="3352" max="3352" width="18.83203125" style="1" customWidth="1"/>
    <col min="3353" max="3354" width="0" style="1" hidden="1" customWidth="1"/>
    <col min="3355" max="3355" width="13.83203125" style="1" customWidth="1"/>
    <col min="3356" max="3356" width="13.1640625" style="1" customWidth="1"/>
    <col min="3357" max="3357" width="0" style="1" hidden="1" customWidth="1"/>
    <col min="3358" max="3358" width="18.1640625" style="1" customWidth="1"/>
    <col min="3359" max="3359" width="16.5" style="1" customWidth="1"/>
    <col min="3360" max="3360" width="45.83203125" style="1" customWidth="1"/>
    <col min="3361" max="3361" width="44.1640625" style="1" customWidth="1"/>
    <col min="3362" max="3362" width="17" style="1" customWidth="1"/>
    <col min="3363" max="3363" width="20.1640625" style="1" customWidth="1"/>
    <col min="3364" max="3364" width="15.5" style="1" customWidth="1"/>
    <col min="3365" max="3365" width="19.83203125" style="1" customWidth="1"/>
    <col min="3366" max="3366" width="15.83203125" style="1" customWidth="1"/>
    <col min="3367" max="3369" width="19.33203125" style="1" customWidth="1"/>
    <col min="3370" max="3370" width="22.1640625" style="1" customWidth="1"/>
    <col min="3371" max="3371" width="19.1640625" style="1" customWidth="1"/>
    <col min="3372" max="3372" width="25.1640625" style="1" customWidth="1"/>
    <col min="3373" max="3373" width="12.33203125" style="1" customWidth="1"/>
    <col min="3374" max="3598" width="8.83203125" style="1"/>
    <col min="3599" max="3599" width="5.1640625" style="1" customWidth="1"/>
    <col min="3600" max="3600" width="29.33203125" style="1" customWidth="1"/>
    <col min="3601" max="3601" width="20.5" style="1" customWidth="1"/>
    <col min="3602" max="3602" width="16.83203125" style="1" customWidth="1"/>
    <col min="3603" max="3603" width="17.83203125" style="1" customWidth="1"/>
    <col min="3604" max="3604" width="14.83203125" style="1" customWidth="1"/>
    <col min="3605" max="3605" width="16.1640625" style="1" customWidth="1"/>
    <col min="3606" max="3606" width="0.1640625" style="1" customWidth="1"/>
    <col min="3607" max="3607" width="16.5" style="1" customWidth="1"/>
    <col min="3608" max="3608" width="18.83203125" style="1" customWidth="1"/>
    <col min="3609" max="3610" width="0" style="1" hidden="1" customWidth="1"/>
    <col min="3611" max="3611" width="13.83203125" style="1" customWidth="1"/>
    <col min="3612" max="3612" width="13.1640625" style="1" customWidth="1"/>
    <col min="3613" max="3613" width="0" style="1" hidden="1" customWidth="1"/>
    <col min="3614" max="3614" width="18.1640625" style="1" customWidth="1"/>
    <col min="3615" max="3615" width="16.5" style="1" customWidth="1"/>
    <col min="3616" max="3616" width="45.83203125" style="1" customWidth="1"/>
    <col min="3617" max="3617" width="44.1640625" style="1" customWidth="1"/>
    <col min="3618" max="3618" width="17" style="1" customWidth="1"/>
    <col min="3619" max="3619" width="20.1640625" style="1" customWidth="1"/>
    <col min="3620" max="3620" width="15.5" style="1" customWidth="1"/>
    <col min="3621" max="3621" width="19.83203125" style="1" customWidth="1"/>
    <col min="3622" max="3622" width="15.83203125" style="1" customWidth="1"/>
    <col min="3623" max="3625" width="19.33203125" style="1" customWidth="1"/>
    <col min="3626" max="3626" width="22.1640625" style="1" customWidth="1"/>
    <col min="3627" max="3627" width="19.1640625" style="1" customWidth="1"/>
    <col min="3628" max="3628" width="25.1640625" style="1" customWidth="1"/>
    <col min="3629" max="3629" width="12.33203125" style="1" customWidth="1"/>
    <col min="3630" max="3854" width="8.83203125" style="1"/>
    <col min="3855" max="3855" width="5.1640625" style="1" customWidth="1"/>
    <col min="3856" max="3856" width="29.33203125" style="1" customWidth="1"/>
    <col min="3857" max="3857" width="20.5" style="1" customWidth="1"/>
    <col min="3858" max="3858" width="16.83203125" style="1" customWidth="1"/>
    <col min="3859" max="3859" width="17.83203125" style="1" customWidth="1"/>
    <col min="3860" max="3860" width="14.83203125" style="1" customWidth="1"/>
    <col min="3861" max="3861" width="16.1640625" style="1" customWidth="1"/>
    <col min="3862" max="3862" width="0.1640625" style="1" customWidth="1"/>
    <col min="3863" max="3863" width="16.5" style="1" customWidth="1"/>
    <col min="3864" max="3864" width="18.83203125" style="1" customWidth="1"/>
    <col min="3865" max="3866" width="0" style="1" hidden="1" customWidth="1"/>
    <col min="3867" max="3867" width="13.83203125" style="1" customWidth="1"/>
    <col min="3868" max="3868" width="13.1640625" style="1" customWidth="1"/>
    <col min="3869" max="3869" width="0" style="1" hidden="1" customWidth="1"/>
    <col min="3870" max="3870" width="18.1640625" style="1" customWidth="1"/>
    <col min="3871" max="3871" width="16.5" style="1" customWidth="1"/>
    <col min="3872" max="3872" width="45.83203125" style="1" customWidth="1"/>
    <col min="3873" max="3873" width="44.1640625" style="1" customWidth="1"/>
    <col min="3874" max="3874" width="17" style="1" customWidth="1"/>
    <col min="3875" max="3875" width="20.1640625" style="1" customWidth="1"/>
    <col min="3876" max="3876" width="15.5" style="1" customWidth="1"/>
    <col min="3877" max="3877" width="19.83203125" style="1" customWidth="1"/>
    <col min="3878" max="3878" width="15.83203125" style="1" customWidth="1"/>
    <col min="3879" max="3881" width="19.33203125" style="1" customWidth="1"/>
    <col min="3882" max="3882" width="22.1640625" style="1" customWidth="1"/>
    <col min="3883" max="3883" width="19.1640625" style="1" customWidth="1"/>
    <col min="3884" max="3884" width="25.1640625" style="1" customWidth="1"/>
    <col min="3885" max="3885" width="12.33203125" style="1" customWidth="1"/>
    <col min="3886" max="4110" width="8.83203125" style="1"/>
    <col min="4111" max="4111" width="5.1640625" style="1" customWidth="1"/>
    <col min="4112" max="4112" width="29.33203125" style="1" customWidth="1"/>
    <col min="4113" max="4113" width="20.5" style="1" customWidth="1"/>
    <col min="4114" max="4114" width="16.83203125" style="1" customWidth="1"/>
    <col min="4115" max="4115" width="17.83203125" style="1" customWidth="1"/>
    <col min="4116" max="4116" width="14.83203125" style="1" customWidth="1"/>
    <col min="4117" max="4117" width="16.1640625" style="1" customWidth="1"/>
    <col min="4118" max="4118" width="0.1640625" style="1" customWidth="1"/>
    <col min="4119" max="4119" width="16.5" style="1" customWidth="1"/>
    <col min="4120" max="4120" width="18.83203125" style="1" customWidth="1"/>
    <col min="4121" max="4122" width="0" style="1" hidden="1" customWidth="1"/>
    <col min="4123" max="4123" width="13.83203125" style="1" customWidth="1"/>
    <col min="4124" max="4124" width="13.1640625" style="1" customWidth="1"/>
    <col min="4125" max="4125" width="0" style="1" hidden="1" customWidth="1"/>
    <col min="4126" max="4126" width="18.1640625" style="1" customWidth="1"/>
    <col min="4127" max="4127" width="16.5" style="1" customWidth="1"/>
    <col min="4128" max="4128" width="45.83203125" style="1" customWidth="1"/>
    <col min="4129" max="4129" width="44.1640625" style="1" customWidth="1"/>
    <col min="4130" max="4130" width="17" style="1" customWidth="1"/>
    <col min="4131" max="4131" width="20.1640625" style="1" customWidth="1"/>
    <col min="4132" max="4132" width="15.5" style="1" customWidth="1"/>
    <col min="4133" max="4133" width="19.83203125" style="1" customWidth="1"/>
    <col min="4134" max="4134" width="15.83203125" style="1" customWidth="1"/>
    <col min="4135" max="4137" width="19.33203125" style="1" customWidth="1"/>
    <col min="4138" max="4138" width="22.1640625" style="1" customWidth="1"/>
    <col min="4139" max="4139" width="19.1640625" style="1" customWidth="1"/>
    <col min="4140" max="4140" width="25.1640625" style="1" customWidth="1"/>
    <col min="4141" max="4141" width="12.33203125" style="1" customWidth="1"/>
    <col min="4142" max="4366" width="8.83203125" style="1"/>
    <col min="4367" max="4367" width="5.1640625" style="1" customWidth="1"/>
    <col min="4368" max="4368" width="29.33203125" style="1" customWidth="1"/>
    <col min="4369" max="4369" width="20.5" style="1" customWidth="1"/>
    <col min="4370" max="4370" width="16.83203125" style="1" customWidth="1"/>
    <col min="4371" max="4371" width="17.83203125" style="1" customWidth="1"/>
    <col min="4372" max="4372" width="14.83203125" style="1" customWidth="1"/>
    <col min="4373" max="4373" width="16.1640625" style="1" customWidth="1"/>
    <col min="4374" max="4374" width="0.1640625" style="1" customWidth="1"/>
    <col min="4375" max="4375" width="16.5" style="1" customWidth="1"/>
    <col min="4376" max="4376" width="18.83203125" style="1" customWidth="1"/>
    <col min="4377" max="4378" width="0" style="1" hidden="1" customWidth="1"/>
    <col min="4379" max="4379" width="13.83203125" style="1" customWidth="1"/>
    <col min="4380" max="4380" width="13.1640625" style="1" customWidth="1"/>
    <col min="4381" max="4381" width="0" style="1" hidden="1" customWidth="1"/>
    <col min="4382" max="4382" width="18.1640625" style="1" customWidth="1"/>
    <col min="4383" max="4383" width="16.5" style="1" customWidth="1"/>
    <col min="4384" max="4384" width="45.83203125" style="1" customWidth="1"/>
    <col min="4385" max="4385" width="44.1640625" style="1" customWidth="1"/>
    <col min="4386" max="4386" width="17" style="1" customWidth="1"/>
    <col min="4387" max="4387" width="20.1640625" style="1" customWidth="1"/>
    <col min="4388" max="4388" width="15.5" style="1" customWidth="1"/>
    <col min="4389" max="4389" width="19.83203125" style="1" customWidth="1"/>
    <col min="4390" max="4390" width="15.83203125" style="1" customWidth="1"/>
    <col min="4391" max="4393" width="19.33203125" style="1" customWidth="1"/>
    <col min="4394" max="4394" width="22.1640625" style="1" customWidth="1"/>
    <col min="4395" max="4395" width="19.1640625" style="1" customWidth="1"/>
    <col min="4396" max="4396" width="25.1640625" style="1" customWidth="1"/>
    <col min="4397" max="4397" width="12.33203125" style="1" customWidth="1"/>
    <col min="4398" max="4622" width="8.83203125" style="1"/>
    <col min="4623" max="4623" width="5.1640625" style="1" customWidth="1"/>
    <col min="4624" max="4624" width="29.33203125" style="1" customWidth="1"/>
    <col min="4625" max="4625" width="20.5" style="1" customWidth="1"/>
    <col min="4626" max="4626" width="16.83203125" style="1" customWidth="1"/>
    <col min="4627" max="4627" width="17.83203125" style="1" customWidth="1"/>
    <col min="4628" max="4628" width="14.83203125" style="1" customWidth="1"/>
    <col min="4629" max="4629" width="16.1640625" style="1" customWidth="1"/>
    <col min="4630" max="4630" width="0.1640625" style="1" customWidth="1"/>
    <col min="4631" max="4631" width="16.5" style="1" customWidth="1"/>
    <col min="4632" max="4632" width="18.83203125" style="1" customWidth="1"/>
    <col min="4633" max="4634" width="0" style="1" hidden="1" customWidth="1"/>
    <col min="4635" max="4635" width="13.83203125" style="1" customWidth="1"/>
    <col min="4636" max="4636" width="13.1640625" style="1" customWidth="1"/>
    <col min="4637" max="4637" width="0" style="1" hidden="1" customWidth="1"/>
    <col min="4638" max="4638" width="18.1640625" style="1" customWidth="1"/>
    <col min="4639" max="4639" width="16.5" style="1" customWidth="1"/>
    <col min="4640" max="4640" width="45.83203125" style="1" customWidth="1"/>
    <col min="4641" max="4641" width="44.1640625" style="1" customWidth="1"/>
    <col min="4642" max="4642" width="17" style="1" customWidth="1"/>
    <col min="4643" max="4643" width="20.1640625" style="1" customWidth="1"/>
    <col min="4644" max="4644" width="15.5" style="1" customWidth="1"/>
    <col min="4645" max="4645" width="19.83203125" style="1" customWidth="1"/>
    <col min="4646" max="4646" width="15.83203125" style="1" customWidth="1"/>
    <col min="4647" max="4649" width="19.33203125" style="1" customWidth="1"/>
    <col min="4650" max="4650" width="22.1640625" style="1" customWidth="1"/>
    <col min="4651" max="4651" width="19.1640625" style="1" customWidth="1"/>
    <col min="4652" max="4652" width="25.1640625" style="1" customWidth="1"/>
    <col min="4653" max="4653" width="12.33203125" style="1" customWidth="1"/>
    <col min="4654" max="4878" width="8.83203125" style="1"/>
    <col min="4879" max="4879" width="5.1640625" style="1" customWidth="1"/>
    <col min="4880" max="4880" width="29.33203125" style="1" customWidth="1"/>
    <col min="4881" max="4881" width="20.5" style="1" customWidth="1"/>
    <col min="4882" max="4882" width="16.83203125" style="1" customWidth="1"/>
    <col min="4883" max="4883" width="17.83203125" style="1" customWidth="1"/>
    <col min="4884" max="4884" width="14.83203125" style="1" customWidth="1"/>
    <col min="4885" max="4885" width="16.1640625" style="1" customWidth="1"/>
    <col min="4886" max="4886" width="0.1640625" style="1" customWidth="1"/>
    <col min="4887" max="4887" width="16.5" style="1" customWidth="1"/>
    <col min="4888" max="4888" width="18.83203125" style="1" customWidth="1"/>
    <col min="4889" max="4890" width="0" style="1" hidden="1" customWidth="1"/>
    <col min="4891" max="4891" width="13.83203125" style="1" customWidth="1"/>
    <col min="4892" max="4892" width="13.1640625" style="1" customWidth="1"/>
    <col min="4893" max="4893" width="0" style="1" hidden="1" customWidth="1"/>
    <col min="4894" max="4894" width="18.1640625" style="1" customWidth="1"/>
    <col min="4895" max="4895" width="16.5" style="1" customWidth="1"/>
    <col min="4896" max="4896" width="45.83203125" style="1" customWidth="1"/>
    <col min="4897" max="4897" width="44.1640625" style="1" customWidth="1"/>
    <col min="4898" max="4898" width="17" style="1" customWidth="1"/>
    <col min="4899" max="4899" width="20.1640625" style="1" customWidth="1"/>
    <col min="4900" max="4900" width="15.5" style="1" customWidth="1"/>
    <col min="4901" max="4901" width="19.83203125" style="1" customWidth="1"/>
    <col min="4902" max="4902" width="15.83203125" style="1" customWidth="1"/>
    <col min="4903" max="4905" width="19.33203125" style="1" customWidth="1"/>
    <col min="4906" max="4906" width="22.1640625" style="1" customWidth="1"/>
    <col min="4907" max="4907" width="19.1640625" style="1" customWidth="1"/>
    <col min="4908" max="4908" width="25.1640625" style="1" customWidth="1"/>
    <col min="4909" max="4909" width="12.33203125" style="1" customWidth="1"/>
    <col min="4910" max="5134" width="8.83203125" style="1"/>
    <col min="5135" max="5135" width="5.1640625" style="1" customWidth="1"/>
    <col min="5136" max="5136" width="29.33203125" style="1" customWidth="1"/>
    <col min="5137" max="5137" width="20.5" style="1" customWidth="1"/>
    <col min="5138" max="5138" width="16.83203125" style="1" customWidth="1"/>
    <col min="5139" max="5139" width="17.83203125" style="1" customWidth="1"/>
    <col min="5140" max="5140" width="14.83203125" style="1" customWidth="1"/>
    <col min="5141" max="5141" width="16.1640625" style="1" customWidth="1"/>
    <col min="5142" max="5142" width="0.1640625" style="1" customWidth="1"/>
    <col min="5143" max="5143" width="16.5" style="1" customWidth="1"/>
    <col min="5144" max="5144" width="18.83203125" style="1" customWidth="1"/>
    <col min="5145" max="5146" width="0" style="1" hidden="1" customWidth="1"/>
    <col min="5147" max="5147" width="13.83203125" style="1" customWidth="1"/>
    <col min="5148" max="5148" width="13.1640625" style="1" customWidth="1"/>
    <col min="5149" max="5149" width="0" style="1" hidden="1" customWidth="1"/>
    <col min="5150" max="5150" width="18.1640625" style="1" customWidth="1"/>
    <col min="5151" max="5151" width="16.5" style="1" customWidth="1"/>
    <col min="5152" max="5152" width="45.83203125" style="1" customWidth="1"/>
    <col min="5153" max="5153" width="44.1640625" style="1" customWidth="1"/>
    <col min="5154" max="5154" width="17" style="1" customWidth="1"/>
    <col min="5155" max="5155" width="20.1640625" style="1" customWidth="1"/>
    <col min="5156" max="5156" width="15.5" style="1" customWidth="1"/>
    <col min="5157" max="5157" width="19.83203125" style="1" customWidth="1"/>
    <col min="5158" max="5158" width="15.83203125" style="1" customWidth="1"/>
    <col min="5159" max="5161" width="19.33203125" style="1" customWidth="1"/>
    <col min="5162" max="5162" width="22.1640625" style="1" customWidth="1"/>
    <col min="5163" max="5163" width="19.1640625" style="1" customWidth="1"/>
    <col min="5164" max="5164" width="25.1640625" style="1" customWidth="1"/>
    <col min="5165" max="5165" width="12.33203125" style="1" customWidth="1"/>
    <col min="5166" max="5390" width="8.83203125" style="1"/>
    <col min="5391" max="5391" width="5.1640625" style="1" customWidth="1"/>
    <col min="5392" max="5392" width="29.33203125" style="1" customWidth="1"/>
    <col min="5393" max="5393" width="20.5" style="1" customWidth="1"/>
    <col min="5394" max="5394" width="16.83203125" style="1" customWidth="1"/>
    <col min="5395" max="5395" width="17.83203125" style="1" customWidth="1"/>
    <col min="5396" max="5396" width="14.83203125" style="1" customWidth="1"/>
    <col min="5397" max="5397" width="16.1640625" style="1" customWidth="1"/>
    <col min="5398" max="5398" width="0.1640625" style="1" customWidth="1"/>
    <col min="5399" max="5399" width="16.5" style="1" customWidth="1"/>
    <col min="5400" max="5400" width="18.83203125" style="1" customWidth="1"/>
    <col min="5401" max="5402" width="0" style="1" hidden="1" customWidth="1"/>
    <col min="5403" max="5403" width="13.83203125" style="1" customWidth="1"/>
    <col min="5404" max="5404" width="13.1640625" style="1" customWidth="1"/>
    <col min="5405" max="5405" width="0" style="1" hidden="1" customWidth="1"/>
    <col min="5406" max="5406" width="18.1640625" style="1" customWidth="1"/>
    <col min="5407" max="5407" width="16.5" style="1" customWidth="1"/>
    <col min="5408" max="5408" width="45.83203125" style="1" customWidth="1"/>
    <col min="5409" max="5409" width="44.1640625" style="1" customWidth="1"/>
    <col min="5410" max="5410" width="17" style="1" customWidth="1"/>
    <col min="5411" max="5411" width="20.1640625" style="1" customWidth="1"/>
    <col min="5412" max="5412" width="15.5" style="1" customWidth="1"/>
    <col min="5413" max="5413" width="19.83203125" style="1" customWidth="1"/>
    <col min="5414" max="5414" width="15.83203125" style="1" customWidth="1"/>
    <col min="5415" max="5417" width="19.33203125" style="1" customWidth="1"/>
    <col min="5418" max="5418" width="22.1640625" style="1" customWidth="1"/>
    <col min="5419" max="5419" width="19.1640625" style="1" customWidth="1"/>
    <col min="5420" max="5420" width="25.1640625" style="1" customWidth="1"/>
    <col min="5421" max="5421" width="12.33203125" style="1" customWidth="1"/>
    <col min="5422" max="5646" width="8.83203125" style="1"/>
    <col min="5647" max="5647" width="5.1640625" style="1" customWidth="1"/>
    <col min="5648" max="5648" width="29.33203125" style="1" customWidth="1"/>
    <col min="5649" max="5649" width="20.5" style="1" customWidth="1"/>
    <col min="5650" max="5650" width="16.83203125" style="1" customWidth="1"/>
    <col min="5651" max="5651" width="17.83203125" style="1" customWidth="1"/>
    <col min="5652" max="5652" width="14.83203125" style="1" customWidth="1"/>
    <col min="5653" max="5653" width="16.1640625" style="1" customWidth="1"/>
    <col min="5654" max="5654" width="0.1640625" style="1" customWidth="1"/>
    <col min="5655" max="5655" width="16.5" style="1" customWidth="1"/>
    <col min="5656" max="5656" width="18.83203125" style="1" customWidth="1"/>
    <col min="5657" max="5658" width="0" style="1" hidden="1" customWidth="1"/>
    <col min="5659" max="5659" width="13.83203125" style="1" customWidth="1"/>
    <col min="5660" max="5660" width="13.1640625" style="1" customWidth="1"/>
    <col min="5661" max="5661" width="0" style="1" hidden="1" customWidth="1"/>
    <col min="5662" max="5662" width="18.1640625" style="1" customWidth="1"/>
    <col min="5663" max="5663" width="16.5" style="1" customWidth="1"/>
    <col min="5664" max="5664" width="45.83203125" style="1" customWidth="1"/>
    <col min="5665" max="5665" width="44.1640625" style="1" customWidth="1"/>
    <col min="5666" max="5666" width="17" style="1" customWidth="1"/>
    <col min="5667" max="5667" width="20.1640625" style="1" customWidth="1"/>
    <col min="5668" max="5668" width="15.5" style="1" customWidth="1"/>
    <col min="5669" max="5669" width="19.83203125" style="1" customWidth="1"/>
    <col min="5670" max="5670" width="15.83203125" style="1" customWidth="1"/>
    <col min="5671" max="5673" width="19.33203125" style="1" customWidth="1"/>
    <col min="5674" max="5674" width="22.1640625" style="1" customWidth="1"/>
    <col min="5675" max="5675" width="19.1640625" style="1" customWidth="1"/>
    <col min="5676" max="5676" width="25.1640625" style="1" customWidth="1"/>
    <col min="5677" max="5677" width="12.33203125" style="1" customWidth="1"/>
    <col min="5678" max="5902" width="8.83203125" style="1"/>
    <col min="5903" max="5903" width="5.1640625" style="1" customWidth="1"/>
    <col min="5904" max="5904" width="29.33203125" style="1" customWidth="1"/>
    <col min="5905" max="5905" width="20.5" style="1" customWidth="1"/>
    <col min="5906" max="5906" width="16.83203125" style="1" customWidth="1"/>
    <col min="5907" max="5907" width="17.83203125" style="1" customWidth="1"/>
    <col min="5908" max="5908" width="14.83203125" style="1" customWidth="1"/>
    <col min="5909" max="5909" width="16.1640625" style="1" customWidth="1"/>
    <col min="5910" max="5910" width="0.1640625" style="1" customWidth="1"/>
    <col min="5911" max="5911" width="16.5" style="1" customWidth="1"/>
    <col min="5912" max="5912" width="18.83203125" style="1" customWidth="1"/>
    <col min="5913" max="5914" width="0" style="1" hidden="1" customWidth="1"/>
    <col min="5915" max="5915" width="13.83203125" style="1" customWidth="1"/>
    <col min="5916" max="5916" width="13.1640625" style="1" customWidth="1"/>
    <col min="5917" max="5917" width="0" style="1" hidden="1" customWidth="1"/>
    <col min="5918" max="5918" width="18.1640625" style="1" customWidth="1"/>
    <col min="5919" max="5919" width="16.5" style="1" customWidth="1"/>
    <col min="5920" max="5920" width="45.83203125" style="1" customWidth="1"/>
    <col min="5921" max="5921" width="44.1640625" style="1" customWidth="1"/>
    <col min="5922" max="5922" width="17" style="1" customWidth="1"/>
    <col min="5923" max="5923" width="20.1640625" style="1" customWidth="1"/>
    <col min="5924" max="5924" width="15.5" style="1" customWidth="1"/>
    <col min="5925" max="5925" width="19.83203125" style="1" customWidth="1"/>
    <col min="5926" max="5926" width="15.83203125" style="1" customWidth="1"/>
    <col min="5927" max="5929" width="19.33203125" style="1" customWidth="1"/>
    <col min="5930" max="5930" width="22.1640625" style="1" customWidth="1"/>
    <col min="5931" max="5931" width="19.1640625" style="1" customWidth="1"/>
    <col min="5932" max="5932" width="25.1640625" style="1" customWidth="1"/>
    <col min="5933" max="5933" width="12.33203125" style="1" customWidth="1"/>
    <col min="5934" max="6158" width="8.83203125" style="1"/>
    <col min="6159" max="6159" width="5.1640625" style="1" customWidth="1"/>
    <col min="6160" max="6160" width="29.33203125" style="1" customWidth="1"/>
    <col min="6161" max="6161" width="20.5" style="1" customWidth="1"/>
    <col min="6162" max="6162" width="16.83203125" style="1" customWidth="1"/>
    <col min="6163" max="6163" width="17.83203125" style="1" customWidth="1"/>
    <col min="6164" max="6164" width="14.83203125" style="1" customWidth="1"/>
    <col min="6165" max="6165" width="16.1640625" style="1" customWidth="1"/>
    <col min="6166" max="6166" width="0.1640625" style="1" customWidth="1"/>
    <col min="6167" max="6167" width="16.5" style="1" customWidth="1"/>
    <col min="6168" max="6168" width="18.83203125" style="1" customWidth="1"/>
    <col min="6169" max="6170" width="0" style="1" hidden="1" customWidth="1"/>
    <col min="6171" max="6171" width="13.83203125" style="1" customWidth="1"/>
    <col min="6172" max="6172" width="13.1640625" style="1" customWidth="1"/>
    <col min="6173" max="6173" width="0" style="1" hidden="1" customWidth="1"/>
    <col min="6174" max="6174" width="18.1640625" style="1" customWidth="1"/>
    <col min="6175" max="6175" width="16.5" style="1" customWidth="1"/>
    <col min="6176" max="6176" width="45.83203125" style="1" customWidth="1"/>
    <col min="6177" max="6177" width="44.1640625" style="1" customWidth="1"/>
    <col min="6178" max="6178" width="17" style="1" customWidth="1"/>
    <col min="6179" max="6179" width="20.1640625" style="1" customWidth="1"/>
    <col min="6180" max="6180" width="15.5" style="1" customWidth="1"/>
    <col min="6181" max="6181" width="19.83203125" style="1" customWidth="1"/>
    <col min="6182" max="6182" width="15.83203125" style="1" customWidth="1"/>
    <col min="6183" max="6185" width="19.33203125" style="1" customWidth="1"/>
    <col min="6186" max="6186" width="22.1640625" style="1" customWidth="1"/>
    <col min="6187" max="6187" width="19.1640625" style="1" customWidth="1"/>
    <col min="6188" max="6188" width="25.1640625" style="1" customWidth="1"/>
    <col min="6189" max="6189" width="12.33203125" style="1" customWidth="1"/>
    <col min="6190" max="6414" width="8.83203125" style="1"/>
    <col min="6415" max="6415" width="5.1640625" style="1" customWidth="1"/>
    <col min="6416" max="6416" width="29.33203125" style="1" customWidth="1"/>
    <col min="6417" max="6417" width="20.5" style="1" customWidth="1"/>
    <col min="6418" max="6418" width="16.83203125" style="1" customWidth="1"/>
    <col min="6419" max="6419" width="17.83203125" style="1" customWidth="1"/>
    <col min="6420" max="6420" width="14.83203125" style="1" customWidth="1"/>
    <col min="6421" max="6421" width="16.1640625" style="1" customWidth="1"/>
    <col min="6422" max="6422" width="0.1640625" style="1" customWidth="1"/>
    <col min="6423" max="6423" width="16.5" style="1" customWidth="1"/>
    <col min="6424" max="6424" width="18.83203125" style="1" customWidth="1"/>
    <col min="6425" max="6426" width="0" style="1" hidden="1" customWidth="1"/>
    <col min="6427" max="6427" width="13.83203125" style="1" customWidth="1"/>
    <col min="6428" max="6428" width="13.1640625" style="1" customWidth="1"/>
    <col min="6429" max="6429" width="0" style="1" hidden="1" customWidth="1"/>
    <col min="6430" max="6430" width="18.1640625" style="1" customWidth="1"/>
    <col min="6431" max="6431" width="16.5" style="1" customWidth="1"/>
    <col min="6432" max="6432" width="45.83203125" style="1" customWidth="1"/>
    <col min="6433" max="6433" width="44.1640625" style="1" customWidth="1"/>
    <col min="6434" max="6434" width="17" style="1" customWidth="1"/>
    <col min="6435" max="6435" width="20.1640625" style="1" customWidth="1"/>
    <col min="6436" max="6436" width="15.5" style="1" customWidth="1"/>
    <col min="6437" max="6437" width="19.83203125" style="1" customWidth="1"/>
    <col min="6438" max="6438" width="15.83203125" style="1" customWidth="1"/>
    <col min="6439" max="6441" width="19.33203125" style="1" customWidth="1"/>
    <col min="6442" max="6442" width="22.1640625" style="1" customWidth="1"/>
    <col min="6443" max="6443" width="19.1640625" style="1" customWidth="1"/>
    <col min="6444" max="6444" width="25.1640625" style="1" customWidth="1"/>
    <col min="6445" max="6445" width="12.33203125" style="1" customWidth="1"/>
    <col min="6446" max="6670" width="8.83203125" style="1"/>
    <col min="6671" max="6671" width="5.1640625" style="1" customWidth="1"/>
    <col min="6672" max="6672" width="29.33203125" style="1" customWidth="1"/>
    <col min="6673" max="6673" width="20.5" style="1" customWidth="1"/>
    <col min="6674" max="6674" width="16.83203125" style="1" customWidth="1"/>
    <col min="6675" max="6675" width="17.83203125" style="1" customWidth="1"/>
    <col min="6676" max="6676" width="14.83203125" style="1" customWidth="1"/>
    <col min="6677" max="6677" width="16.1640625" style="1" customWidth="1"/>
    <col min="6678" max="6678" width="0.1640625" style="1" customWidth="1"/>
    <col min="6679" max="6679" width="16.5" style="1" customWidth="1"/>
    <col min="6680" max="6680" width="18.83203125" style="1" customWidth="1"/>
    <col min="6681" max="6682" width="0" style="1" hidden="1" customWidth="1"/>
    <col min="6683" max="6683" width="13.83203125" style="1" customWidth="1"/>
    <col min="6684" max="6684" width="13.1640625" style="1" customWidth="1"/>
    <col min="6685" max="6685" width="0" style="1" hidden="1" customWidth="1"/>
    <col min="6686" max="6686" width="18.1640625" style="1" customWidth="1"/>
    <col min="6687" max="6687" width="16.5" style="1" customWidth="1"/>
    <col min="6688" max="6688" width="45.83203125" style="1" customWidth="1"/>
    <col min="6689" max="6689" width="44.1640625" style="1" customWidth="1"/>
    <col min="6690" max="6690" width="17" style="1" customWidth="1"/>
    <col min="6691" max="6691" width="20.1640625" style="1" customWidth="1"/>
    <col min="6692" max="6692" width="15.5" style="1" customWidth="1"/>
    <col min="6693" max="6693" width="19.83203125" style="1" customWidth="1"/>
    <col min="6694" max="6694" width="15.83203125" style="1" customWidth="1"/>
    <col min="6695" max="6697" width="19.33203125" style="1" customWidth="1"/>
    <col min="6698" max="6698" width="22.1640625" style="1" customWidth="1"/>
    <col min="6699" max="6699" width="19.1640625" style="1" customWidth="1"/>
    <col min="6700" max="6700" width="25.1640625" style="1" customWidth="1"/>
    <col min="6701" max="6701" width="12.33203125" style="1" customWidth="1"/>
    <col min="6702" max="6926" width="8.83203125" style="1"/>
    <col min="6927" max="6927" width="5.1640625" style="1" customWidth="1"/>
    <col min="6928" max="6928" width="29.33203125" style="1" customWidth="1"/>
    <col min="6929" max="6929" width="20.5" style="1" customWidth="1"/>
    <col min="6930" max="6930" width="16.83203125" style="1" customWidth="1"/>
    <col min="6931" max="6931" width="17.83203125" style="1" customWidth="1"/>
    <col min="6932" max="6932" width="14.83203125" style="1" customWidth="1"/>
    <col min="6933" max="6933" width="16.1640625" style="1" customWidth="1"/>
    <col min="6934" max="6934" width="0.1640625" style="1" customWidth="1"/>
    <col min="6935" max="6935" width="16.5" style="1" customWidth="1"/>
    <col min="6936" max="6936" width="18.83203125" style="1" customWidth="1"/>
    <col min="6937" max="6938" width="0" style="1" hidden="1" customWidth="1"/>
    <col min="6939" max="6939" width="13.83203125" style="1" customWidth="1"/>
    <col min="6940" max="6940" width="13.1640625" style="1" customWidth="1"/>
    <col min="6941" max="6941" width="0" style="1" hidden="1" customWidth="1"/>
    <col min="6942" max="6942" width="18.1640625" style="1" customWidth="1"/>
    <col min="6943" max="6943" width="16.5" style="1" customWidth="1"/>
    <col min="6944" max="6944" width="45.83203125" style="1" customWidth="1"/>
    <col min="6945" max="6945" width="44.1640625" style="1" customWidth="1"/>
    <col min="6946" max="6946" width="17" style="1" customWidth="1"/>
    <col min="6947" max="6947" width="20.1640625" style="1" customWidth="1"/>
    <col min="6948" max="6948" width="15.5" style="1" customWidth="1"/>
    <col min="6949" max="6949" width="19.83203125" style="1" customWidth="1"/>
    <col min="6950" max="6950" width="15.83203125" style="1" customWidth="1"/>
    <col min="6951" max="6953" width="19.33203125" style="1" customWidth="1"/>
    <col min="6954" max="6954" width="22.1640625" style="1" customWidth="1"/>
    <col min="6955" max="6955" width="19.1640625" style="1" customWidth="1"/>
    <col min="6956" max="6956" width="25.1640625" style="1" customWidth="1"/>
    <col min="6957" max="6957" width="12.33203125" style="1" customWidth="1"/>
    <col min="6958" max="7182" width="8.83203125" style="1"/>
    <col min="7183" max="7183" width="5.1640625" style="1" customWidth="1"/>
    <col min="7184" max="7184" width="29.33203125" style="1" customWidth="1"/>
    <col min="7185" max="7185" width="20.5" style="1" customWidth="1"/>
    <col min="7186" max="7186" width="16.83203125" style="1" customWidth="1"/>
    <col min="7187" max="7187" width="17.83203125" style="1" customWidth="1"/>
    <col min="7188" max="7188" width="14.83203125" style="1" customWidth="1"/>
    <col min="7189" max="7189" width="16.1640625" style="1" customWidth="1"/>
    <col min="7190" max="7190" width="0.1640625" style="1" customWidth="1"/>
    <col min="7191" max="7191" width="16.5" style="1" customWidth="1"/>
    <col min="7192" max="7192" width="18.83203125" style="1" customWidth="1"/>
    <col min="7193" max="7194" width="0" style="1" hidden="1" customWidth="1"/>
    <col min="7195" max="7195" width="13.83203125" style="1" customWidth="1"/>
    <col min="7196" max="7196" width="13.1640625" style="1" customWidth="1"/>
    <col min="7197" max="7197" width="0" style="1" hidden="1" customWidth="1"/>
    <col min="7198" max="7198" width="18.1640625" style="1" customWidth="1"/>
    <col min="7199" max="7199" width="16.5" style="1" customWidth="1"/>
    <col min="7200" max="7200" width="45.83203125" style="1" customWidth="1"/>
    <col min="7201" max="7201" width="44.1640625" style="1" customWidth="1"/>
    <col min="7202" max="7202" width="17" style="1" customWidth="1"/>
    <col min="7203" max="7203" width="20.1640625" style="1" customWidth="1"/>
    <col min="7204" max="7204" width="15.5" style="1" customWidth="1"/>
    <col min="7205" max="7205" width="19.83203125" style="1" customWidth="1"/>
    <col min="7206" max="7206" width="15.83203125" style="1" customWidth="1"/>
    <col min="7207" max="7209" width="19.33203125" style="1" customWidth="1"/>
    <col min="7210" max="7210" width="22.1640625" style="1" customWidth="1"/>
    <col min="7211" max="7211" width="19.1640625" style="1" customWidth="1"/>
    <col min="7212" max="7212" width="25.1640625" style="1" customWidth="1"/>
    <col min="7213" max="7213" width="12.33203125" style="1" customWidth="1"/>
    <col min="7214" max="7438" width="8.83203125" style="1"/>
    <col min="7439" max="7439" width="5.1640625" style="1" customWidth="1"/>
    <col min="7440" max="7440" width="29.33203125" style="1" customWidth="1"/>
    <col min="7441" max="7441" width="20.5" style="1" customWidth="1"/>
    <col min="7442" max="7442" width="16.83203125" style="1" customWidth="1"/>
    <col min="7443" max="7443" width="17.83203125" style="1" customWidth="1"/>
    <col min="7444" max="7444" width="14.83203125" style="1" customWidth="1"/>
    <col min="7445" max="7445" width="16.1640625" style="1" customWidth="1"/>
    <col min="7446" max="7446" width="0.1640625" style="1" customWidth="1"/>
    <col min="7447" max="7447" width="16.5" style="1" customWidth="1"/>
    <col min="7448" max="7448" width="18.83203125" style="1" customWidth="1"/>
    <col min="7449" max="7450" width="0" style="1" hidden="1" customWidth="1"/>
    <col min="7451" max="7451" width="13.83203125" style="1" customWidth="1"/>
    <col min="7452" max="7452" width="13.1640625" style="1" customWidth="1"/>
    <col min="7453" max="7453" width="0" style="1" hidden="1" customWidth="1"/>
    <col min="7454" max="7454" width="18.1640625" style="1" customWidth="1"/>
    <col min="7455" max="7455" width="16.5" style="1" customWidth="1"/>
    <col min="7456" max="7456" width="45.83203125" style="1" customWidth="1"/>
    <col min="7457" max="7457" width="44.1640625" style="1" customWidth="1"/>
    <col min="7458" max="7458" width="17" style="1" customWidth="1"/>
    <col min="7459" max="7459" width="20.1640625" style="1" customWidth="1"/>
    <col min="7460" max="7460" width="15.5" style="1" customWidth="1"/>
    <col min="7461" max="7461" width="19.83203125" style="1" customWidth="1"/>
    <col min="7462" max="7462" width="15.83203125" style="1" customWidth="1"/>
    <col min="7463" max="7465" width="19.33203125" style="1" customWidth="1"/>
    <col min="7466" max="7466" width="22.1640625" style="1" customWidth="1"/>
    <col min="7467" max="7467" width="19.1640625" style="1" customWidth="1"/>
    <col min="7468" max="7468" width="25.1640625" style="1" customWidth="1"/>
    <col min="7469" max="7469" width="12.33203125" style="1" customWidth="1"/>
    <col min="7470" max="7694" width="8.83203125" style="1"/>
    <col min="7695" max="7695" width="5.1640625" style="1" customWidth="1"/>
    <col min="7696" max="7696" width="29.33203125" style="1" customWidth="1"/>
    <col min="7697" max="7697" width="20.5" style="1" customWidth="1"/>
    <col min="7698" max="7698" width="16.83203125" style="1" customWidth="1"/>
    <col min="7699" max="7699" width="17.83203125" style="1" customWidth="1"/>
    <col min="7700" max="7700" width="14.83203125" style="1" customWidth="1"/>
    <col min="7701" max="7701" width="16.1640625" style="1" customWidth="1"/>
    <col min="7702" max="7702" width="0.1640625" style="1" customWidth="1"/>
    <col min="7703" max="7703" width="16.5" style="1" customWidth="1"/>
    <col min="7704" max="7704" width="18.83203125" style="1" customWidth="1"/>
    <col min="7705" max="7706" width="0" style="1" hidden="1" customWidth="1"/>
    <col min="7707" max="7707" width="13.83203125" style="1" customWidth="1"/>
    <col min="7708" max="7708" width="13.1640625" style="1" customWidth="1"/>
    <col min="7709" max="7709" width="0" style="1" hidden="1" customWidth="1"/>
    <col min="7710" max="7710" width="18.1640625" style="1" customWidth="1"/>
    <col min="7711" max="7711" width="16.5" style="1" customWidth="1"/>
    <col min="7712" max="7712" width="45.83203125" style="1" customWidth="1"/>
    <col min="7713" max="7713" width="44.1640625" style="1" customWidth="1"/>
    <col min="7714" max="7714" width="17" style="1" customWidth="1"/>
    <col min="7715" max="7715" width="20.1640625" style="1" customWidth="1"/>
    <col min="7716" max="7716" width="15.5" style="1" customWidth="1"/>
    <col min="7717" max="7717" width="19.83203125" style="1" customWidth="1"/>
    <col min="7718" max="7718" width="15.83203125" style="1" customWidth="1"/>
    <col min="7719" max="7721" width="19.33203125" style="1" customWidth="1"/>
    <col min="7722" max="7722" width="22.1640625" style="1" customWidth="1"/>
    <col min="7723" max="7723" width="19.1640625" style="1" customWidth="1"/>
    <col min="7724" max="7724" width="25.1640625" style="1" customWidth="1"/>
    <col min="7725" max="7725" width="12.33203125" style="1" customWidth="1"/>
    <col min="7726" max="7950" width="8.83203125" style="1"/>
    <col min="7951" max="7951" width="5.1640625" style="1" customWidth="1"/>
    <col min="7952" max="7952" width="29.33203125" style="1" customWidth="1"/>
    <col min="7953" max="7953" width="20.5" style="1" customWidth="1"/>
    <col min="7954" max="7954" width="16.83203125" style="1" customWidth="1"/>
    <col min="7955" max="7955" width="17.83203125" style="1" customWidth="1"/>
    <col min="7956" max="7956" width="14.83203125" style="1" customWidth="1"/>
    <col min="7957" max="7957" width="16.1640625" style="1" customWidth="1"/>
    <col min="7958" max="7958" width="0.1640625" style="1" customWidth="1"/>
    <col min="7959" max="7959" width="16.5" style="1" customWidth="1"/>
    <col min="7960" max="7960" width="18.83203125" style="1" customWidth="1"/>
    <col min="7961" max="7962" width="0" style="1" hidden="1" customWidth="1"/>
    <col min="7963" max="7963" width="13.83203125" style="1" customWidth="1"/>
    <col min="7964" max="7964" width="13.1640625" style="1" customWidth="1"/>
    <col min="7965" max="7965" width="0" style="1" hidden="1" customWidth="1"/>
    <col min="7966" max="7966" width="18.1640625" style="1" customWidth="1"/>
    <col min="7967" max="7967" width="16.5" style="1" customWidth="1"/>
    <col min="7968" max="7968" width="45.83203125" style="1" customWidth="1"/>
    <col min="7969" max="7969" width="44.1640625" style="1" customWidth="1"/>
    <col min="7970" max="7970" width="17" style="1" customWidth="1"/>
    <col min="7971" max="7971" width="20.1640625" style="1" customWidth="1"/>
    <col min="7972" max="7972" width="15.5" style="1" customWidth="1"/>
    <col min="7973" max="7973" width="19.83203125" style="1" customWidth="1"/>
    <col min="7974" max="7974" width="15.83203125" style="1" customWidth="1"/>
    <col min="7975" max="7977" width="19.33203125" style="1" customWidth="1"/>
    <col min="7978" max="7978" width="22.1640625" style="1" customWidth="1"/>
    <col min="7979" max="7979" width="19.1640625" style="1" customWidth="1"/>
    <col min="7980" max="7980" width="25.1640625" style="1" customWidth="1"/>
    <col min="7981" max="7981" width="12.33203125" style="1" customWidth="1"/>
    <col min="7982" max="8206" width="8.83203125" style="1"/>
    <col min="8207" max="8207" width="5.1640625" style="1" customWidth="1"/>
    <col min="8208" max="8208" width="29.33203125" style="1" customWidth="1"/>
    <col min="8209" max="8209" width="20.5" style="1" customWidth="1"/>
    <col min="8210" max="8210" width="16.83203125" style="1" customWidth="1"/>
    <col min="8211" max="8211" width="17.83203125" style="1" customWidth="1"/>
    <col min="8212" max="8212" width="14.83203125" style="1" customWidth="1"/>
    <col min="8213" max="8213" width="16.1640625" style="1" customWidth="1"/>
    <col min="8214" max="8214" width="0.1640625" style="1" customWidth="1"/>
    <col min="8215" max="8215" width="16.5" style="1" customWidth="1"/>
    <col min="8216" max="8216" width="18.83203125" style="1" customWidth="1"/>
    <col min="8217" max="8218" width="0" style="1" hidden="1" customWidth="1"/>
    <col min="8219" max="8219" width="13.83203125" style="1" customWidth="1"/>
    <col min="8220" max="8220" width="13.1640625" style="1" customWidth="1"/>
    <col min="8221" max="8221" width="0" style="1" hidden="1" customWidth="1"/>
    <col min="8222" max="8222" width="18.1640625" style="1" customWidth="1"/>
    <col min="8223" max="8223" width="16.5" style="1" customWidth="1"/>
    <col min="8224" max="8224" width="45.83203125" style="1" customWidth="1"/>
    <col min="8225" max="8225" width="44.1640625" style="1" customWidth="1"/>
    <col min="8226" max="8226" width="17" style="1" customWidth="1"/>
    <col min="8227" max="8227" width="20.1640625" style="1" customWidth="1"/>
    <col min="8228" max="8228" width="15.5" style="1" customWidth="1"/>
    <col min="8229" max="8229" width="19.83203125" style="1" customWidth="1"/>
    <col min="8230" max="8230" width="15.83203125" style="1" customWidth="1"/>
    <col min="8231" max="8233" width="19.33203125" style="1" customWidth="1"/>
    <col min="8234" max="8234" width="22.1640625" style="1" customWidth="1"/>
    <col min="8235" max="8235" width="19.1640625" style="1" customWidth="1"/>
    <col min="8236" max="8236" width="25.1640625" style="1" customWidth="1"/>
    <col min="8237" max="8237" width="12.33203125" style="1" customWidth="1"/>
    <col min="8238" max="8462" width="8.83203125" style="1"/>
    <col min="8463" max="8463" width="5.1640625" style="1" customWidth="1"/>
    <col min="8464" max="8464" width="29.33203125" style="1" customWidth="1"/>
    <col min="8465" max="8465" width="20.5" style="1" customWidth="1"/>
    <col min="8466" max="8466" width="16.83203125" style="1" customWidth="1"/>
    <col min="8467" max="8467" width="17.83203125" style="1" customWidth="1"/>
    <col min="8468" max="8468" width="14.83203125" style="1" customWidth="1"/>
    <col min="8469" max="8469" width="16.1640625" style="1" customWidth="1"/>
    <col min="8470" max="8470" width="0.1640625" style="1" customWidth="1"/>
    <col min="8471" max="8471" width="16.5" style="1" customWidth="1"/>
    <col min="8472" max="8472" width="18.83203125" style="1" customWidth="1"/>
    <col min="8473" max="8474" width="0" style="1" hidden="1" customWidth="1"/>
    <col min="8475" max="8475" width="13.83203125" style="1" customWidth="1"/>
    <col min="8476" max="8476" width="13.1640625" style="1" customWidth="1"/>
    <col min="8477" max="8477" width="0" style="1" hidden="1" customWidth="1"/>
    <col min="8478" max="8478" width="18.1640625" style="1" customWidth="1"/>
    <col min="8479" max="8479" width="16.5" style="1" customWidth="1"/>
    <col min="8480" max="8480" width="45.83203125" style="1" customWidth="1"/>
    <col min="8481" max="8481" width="44.1640625" style="1" customWidth="1"/>
    <col min="8482" max="8482" width="17" style="1" customWidth="1"/>
    <col min="8483" max="8483" width="20.1640625" style="1" customWidth="1"/>
    <col min="8484" max="8484" width="15.5" style="1" customWidth="1"/>
    <col min="8485" max="8485" width="19.83203125" style="1" customWidth="1"/>
    <col min="8486" max="8486" width="15.83203125" style="1" customWidth="1"/>
    <col min="8487" max="8489" width="19.33203125" style="1" customWidth="1"/>
    <col min="8490" max="8490" width="22.1640625" style="1" customWidth="1"/>
    <col min="8491" max="8491" width="19.1640625" style="1" customWidth="1"/>
    <col min="8492" max="8492" width="25.1640625" style="1" customWidth="1"/>
    <col min="8493" max="8493" width="12.33203125" style="1" customWidth="1"/>
    <col min="8494" max="8718" width="8.83203125" style="1"/>
    <col min="8719" max="8719" width="5.1640625" style="1" customWidth="1"/>
    <col min="8720" max="8720" width="29.33203125" style="1" customWidth="1"/>
    <col min="8721" max="8721" width="20.5" style="1" customWidth="1"/>
    <col min="8722" max="8722" width="16.83203125" style="1" customWidth="1"/>
    <col min="8723" max="8723" width="17.83203125" style="1" customWidth="1"/>
    <col min="8724" max="8724" width="14.83203125" style="1" customWidth="1"/>
    <col min="8725" max="8725" width="16.1640625" style="1" customWidth="1"/>
    <col min="8726" max="8726" width="0.1640625" style="1" customWidth="1"/>
    <col min="8727" max="8727" width="16.5" style="1" customWidth="1"/>
    <col min="8728" max="8728" width="18.83203125" style="1" customWidth="1"/>
    <col min="8729" max="8730" width="0" style="1" hidden="1" customWidth="1"/>
    <col min="8731" max="8731" width="13.83203125" style="1" customWidth="1"/>
    <col min="8732" max="8732" width="13.1640625" style="1" customWidth="1"/>
    <col min="8733" max="8733" width="0" style="1" hidden="1" customWidth="1"/>
    <col min="8734" max="8734" width="18.1640625" style="1" customWidth="1"/>
    <col min="8735" max="8735" width="16.5" style="1" customWidth="1"/>
    <col min="8736" max="8736" width="45.83203125" style="1" customWidth="1"/>
    <col min="8737" max="8737" width="44.1640625" style="1" customWidth="1"/>
    <col min="8738" max="8738" width="17" style="1" customWidth="1"/>
    <col min="8739" max="8739" width="20.1640625" style="1" customWidth="1"/>
    <col min="8740" max="8740" width="15.5" style="1" customWidth="1"/>
    <col min="8741" max="8741" width="19.83203125" style="1" customWidth="1"/>
    <col min="8742" max="8742" width="15.83203125" style="1" customWidth="1"/>
    <col min="8743" max="8745" width="19.33203125" style="1" customWidth="1"/>
    <col min="8746" max="8746" width="22.1640625" style="1" customWidth="1"/>
    <col min="8747" max="8747" width="19.1640625" style="1" customWidth="1"/>
    <col min="8748" max="8748" width="25.1640625" style="1" customWidth="1"/>
    <col min="8749" max="8749" width="12.33203125" style="1" customWidth="1"/>
    <col min="8750" max="8974" width="8.83203125" style="1"/>
    <col min="8975" max="8975" width="5.1640625" style="1" customWidth="1"/>
    <col min="8976" max="8976" width="29.33203125" style="1" customWidth="1"/>
    <col min="8977" max="8977" width="20.5" style="1" customWidth="1"/>
    <col min="8978" max="8978" width="16.83203125" style="1" customWidth="1"/>
    <col min="8979" max="8979" width="17.83203125" style="1" customWidth="1"/>
    <col min="8980" max="8980" width="14.83203125" style="1" customWidth="1"/>
    <col min="8981" max="8981" width="16.1640625" style="1" customWidth="1"/>
    <col min="8982" max="8982" width="0.1640625" style="1" customWidth="1"/>
    <col min="8983" max="8983" width="16.5" style="1" customWidth="1"/>
    <col min="8984" max="8984" width="18.83203125" style="1" customWidth="1"/>
    <col min="8985" max="8986" width="0" style="1" hidden="1" customWidth="1"/>
    <col min="8987" max="8987" width="13.83203125" style="1" customWidth="1"/>
    <col min="8988" max="8988" width="13.1640625" style="1" customWidth="1"/>
    <col min="8989" max="8989" width="0" style="1" hidden="1" customWidth="1"/>
    <col min="8990" max="8990" width="18.1640625" style="1" customWidth="1"/>
    <col min="8991" max="8991" width="16.5" style="1" customWidth="1"/>
    <col min="8992" max="8992" width="45.83203125" style="1" customWidth="1"/>
    <col min="8993" max="8993" width="44.1640625" style="1" customWidth="1"/>
    <col min="8994" max="8994" width="17" style="1" customWidth="1"/>
    <col min="8995" max="8995" width="20.1640625" style="1" customWidth="1"/>
    <col min="8996" max="8996" width="15.5" style="1" customWidth="1"/>
    <col min="8997" max="8997" width="19.83203125" style="1" customWidth="1"/>
    <col min="8998" max="8998" width="15.83203125" style="1" customWidth="1"/>
    <col min="8999" max="9001" width="19.33203125" style="1" customWidth="1"/>
    <col min="9002" max="9002" width="22.1640625" style="1" customWidth="1"/>
    <col min="9003" max="9003" width="19.1640625" style="1" customWidth="1"/>
    <col min="9004" max="9004" width="25.1640625" style="1" customWidth="1"/>
    <col min="9005" max="9005" width="12.33203125" style="1" customWidth="1"/>
    <col min="9006" max="9230" width="8.83203125" style="1"/>
    <col min="9231" max="9231" width="5.1640625" style="1" customWidth="1"/>
    <col min="9232" max="9232" width="29.33203125" style="1" customWidth="1"/>
    <col min="9233" max="9233" width="20.5" style="1" customWidth="1"/>
    <col min="9234" max="9234" width="16.83203125" style="1" customWidth="1"/>
    <col min="9235" max="9235" width="17.83203125" style="1" customWidth="1"/>
    <col min="9236" max="9236" width="14.83203125" style="1" customWidth="1"/>
    <col min="9237" max="9237" width="16.1640625" style="1" customWidth="1"/>
    <col min="9238" max="9238" width="0.1640625" style="1" customWidth="1"/>
    <col min="9239" max="9239" width="16.5" style="1" customWidth="1"/>
    <col min="9240" max="9240" width="18.83203125" style="1" customWidth="1"/>
    <col min="9241" max="9242" width="0" style="1" hidden="1" customWidth="1"/>
    <col min="9243" max="9243" width="13.83203125" style="1" customWidth="1"/>
    <col min="9244" max="9244" width="13.1640625" style="1" customWidth="1"/>
    <col min="9245" max="9245" width="0" style="1" hidden="1" customWidth="1"/>
    <col min="9246" max="9246" width="18.1640625" style="1" customWidth="1"/>
    <col min="9247" max="9247" width="16.5" style="1" customWidth="1"/>
    <col min="9248" max="9248" width="45.83203125" style="1" customWidth="1"/>
    <col min="9249" max="9249" width="44.1640625" style="1" customWidth="1"/>
    <col min="9250" max="9250" width="17" style="1" customWidth="1"/>
    <col min="9251" max="9251" width="20.1640625" style="1" customWidth="1"/>
    <col min="9252" max="9252" width="15.5" style="1" customWidth="1"/>
    <col min="9253" max="9253" width="19.83203125" style="1" customWidth="1"/>
    <col min="9254" max="9254" width="15.83203125" style="1" customWidth="1"/>
    <col min="9255" max="9257" width="19.33203125" style="1" customWidth="1"/>
    <col min="9258" max="9258" width="22.1640625" style="1" customWidth="1"/>
    <col min="9259" max="9259" width="19.1640625" style="1" customWidth="1"/>
    <col min="9260" max="9260" width="25.1640625" style="1" customWidth="1"/>
    <col min="9261" max="9261" width="12.33203125" style="1" customWidth="1"/>
    <col min="9262" max="9486" width="8.83203125" style="1"/>
    <col min="9487" max="9487" width="5.1640625" style="1" customWidth="1"/>
    <col min="9488" max="9488" width="29.33203125" style="1" customWidth="1"/>
    <col min="9489" max="9489" width="20.5" style="1" customWidth="1"/>
    <col min="9490" max="9490" width="16.83203125" style="1" customWidth="1"/>
    <col min="9491" max="9491" width="17.83203125" style="1" customWidth="1"/>
    <col min="9492" max="9492" width="14.83203125" style="1" customWidth="1"/>
    <col min="9493" max="9493" width="16.1640625" style="1" customWidth="1"/>
    <col min="9494" max="9494" width="0.1640625" style="1" customWidth="1"/>
    <col min="9495" max="9495" width="16.5" style="1" customWidth="1"/>
    <col min="9496" max="9496" width="18.83203125" style="1" customWidth="1"/>
    <col min="9497" max="9498" width="0" style="1" hidden="1" customWidth="1"/>
    <col min="9499" max="9499" width="13.83203125" style="1" customWidth="1"/>
    <col min="9500" max="9500" width="13.1640625" style="1" customWidth="1"/>
    <col min="9501" max="9501" width="0" style="1" hidden="1" customWidth="1"/>
    <col min="9502" max="9502" width="18.1640625" style="1" customWidth="1"/>
    <col min="9503" max="9503" width="16.5" style="1" customWidth="1"/>
    <col min="9504" max="9504" width="45.83203125" style="1" customWidth="1"/>
    <col min="9505" max="9505" width="44.1640625" style="1" customWidth="1"/>
    <col min="9506" max="9506" width="17" style="1" customWidth="1"/>
    <col min="9507" max="9507" width="20.1640625" style="1" customWidth="1"/>
    <col min="9508" max="9508" width="15.5" style="1" customWidth="1"/>
    <col min="9509" max="9509" width="19.83203125" style="1" customWidth="1"/>
    <col min="9510" max="9510" width="15.83203125" style="1" customWidth="1"/>
    <col min="9511" max="9513" width="19.33203125" style="1" customWidth="1"/>
    <col min="9514" max="9514" width="22.1640625" style="1" customWidth="1"/>
    <col min="9515" max="9515" width="19.1640625" style="1" customWidth="1"/>
    <col min="9516" max="9516" width="25.1640625" style="1" customWidth="1"/>
    <col min="9517" max="9517" width="12.33203125" style="1" customWidth="1"/>
    <col min="9518" max="9742" width="8.83203125" style="1"/>
    <col min="9743" max="9743" width="5.1640625" style="1" customWidth="1"/>
    <col min="9744" max="9744" width="29.33203125" style="1" customWidth="1"/>
    <col min="9745" max="9745" width="20.5" style="1" customWidth="1"/>
    <col min="9746" max="9746" width="16.83203125" style="1" customWidth="1"/>
    <col min="9747" max="9747" width="17.83203125" style="1" customWidth="1"/>
    <col min="9748" max="9748" width="14.83203125" style="1" customWidth="1"/>
    <col min="9749" max="9749" width="16.1640625" style="1" customWidth="1"/>
    <col min="9750" max="9750" width="0.1640625" style="1" customWidth="1"/>
    <col min="9751" max="9751" width="16.5" style="1" customWidth="1"/>
    <col min="9752" max="9752" width="18.83203125" style="1" customWidth="1"/>
    <col min="9753" max="9754" width="0" style="1" hidden="1" customWidth="1"/>
    <col min="9755" max="9755" width="13.83203125" style="1" customWidth="1"/>
    <col min="9756" max="9756" width="13.1640625" style="1" customWidth="1"/>
    <col min="9757" max="9757" width="0" style="1" hidden="1" customWidth="1"/>
    <col min="9758" max="9758" width="18.1640625" style="1" customWidth="1"/>
    <col min="9759" max="9759" width="16.5" style="1" customWidth="1"/>
    <col min="9760" max="9760" width="45.83203125" style="1" customWidth="1"/>
    <col min="9761" max="9761" width="44.1640625" style="1" customWidth="1"/>
    <col min="9762" max="9762" width="17" style="1" customWidth="1"/>
    <col min="9763" max="9763" width="20.1640625" style="1" customWidth="1"/>
    <col min="9764" max="9764" width="15.5" style="1" customWidth="1"/>
    <col min="9765" max="9765" width="19.83203125" style="1" customWidth="1"/>
    <col min="9766" max="9766" width="15.83203125" style="1" customWidth="1"/>
    <col min="9767" max="9769" width="19.33203125" style="1" customWidth="1"/>
    <col min="9770" max="9770" width="22.1640625" style="1" customWidth="1"/>
    <col min="9771" max="9771" width="19.1640625" style="1" customWidth="1"/>
    <col min="9772" max="9772" width="25.1640625" style="1" customWidth="1"/>
    <col min="9773" max="9773" width="12.33203125" style="1" customWidth="1"/>
    <col min="9774" max="9998" width="8.83203125" style="1"/>
    <col min="9999" max="9999" width="5.1640625" style="1" customWidth="1"/>
    <col min="10000" max="10000" width="29.33203125" style="1" customWidth="1"/>
    <col min="10001" max="10001" width="20.5" style="1" customWidth="1"/>
    <col min="10002" max="10002" width="16.83203125" style="1" customWidth="1"/>
    <col min="10003" max="10003" width="17.83203125" style="1" customWidth="1"/>
    <col min="10004" max="10004" width="14.83203125" style="1" customWidth="1"/>
    <col min="10005" max="10005" width="16.1640625" style="1" customWidth="1"/>
    <col min="10006" max="10006" width="0.1640625" style="1" customWidth="1"/>
    <col min="10007" max="10007" width="16.5" style="1" customWidth="1"/>
    <col min="10008" max="10008" width="18.83203125" style="1" customWidth="1"/>
    <col min="10009" max="10010" width="0" style="1" hidden="1" customWidth="1"/>
    <col min="10011" max="10011" width="13.83203125" style="1" customWidth="1"/>
    <col min="10012" max="10012" width="13.1640625" style="1" customWidth="1"/>
    <col min="10013" max="10013" width="0" style="1" hidden="1" customWidth="1"/>
    <col min="10014" max="10014" width="18.1640625" style="1" customWidth="1"/>
    <col min="10015" max="10015" width="16.5" style="1" customWidth="1"/>
    <col min="10016" max="10016" width="45.83203125" style="1" customWidth="1"/>
    <col min="10017" max="10017" width="44.1640625" style="1" customWidth="1"/>
    <col min="10018" max="10018" width="17" style="1" customWidth="1"/>
    <col min="10019" max="10019" width="20.1640625" style="1" customWidth="1"/>
    <col min="10020" max="10020" width="15.5" style="1" customWidth="1"/>
    <col min="10021" max="10021" width="19.83203125" style="1" customWidth="1"/>
    <col min="10022" max="10022" width="15.83203125" style="1" customWidth="1"/>
    <col min="10023" max="10025" width="19.33203125" style="1" customWidth="1"/>
    <col min="10026" max="10026" width="22.1640625" style="1" customWidth="1"/>
    <col min="10027" max="10027" width="19.1640625" style="1" customWidth="1"/>
    <col min="10028" max="10028" width="25.1640625" style="1" customWidth="1"/>
    <col min="10029" max="10029" width="12.33203125" style="1" customWidth="1"/>
    <col min="10030" max="10254" width="8.83203125" style="1"/>
    <col min="10255" max="10255" width="5.1640625" style="1" customWidth="1"/>
    <col min="10256" max="10256" width="29.33203125" style="1" customWidth="1"/>
    <col min="10257" max="10257" width="20.5" style="1" customWidth="1"/>
    <col min="10258" max="10258" width="16.83203125" style="1" customWidth="1"/>
    <col min="10259" max="10259" width="17.83203125" style="1" customWidth="1"/>
    <col min="10260" max="10260" width="14.83203125" style="1" customWidth="1"/>
    <col min="10261" max="10261" width="16.1640625" style="1" customWidth="1"/>
    <col min="10262" max="10262" width="0.1640625" style="1" customWidth="1"/>
    <col min="10263" max="10263" width="16.5" style="1" customWidth="1"/>
    <col min="10264" max="10264" width="18.83203125" style="1" customWidth="1"/>
    <col min="10265" max="10266" width="0" style="1" hidden="1" customWidth="1"/>
    <col min="10267" max="10267" width="13.83203125" style="1" customWidth="1"/>
    <col min="10268" max="10268" width="13.1640625" style="1" customWidth="1"/>
    <col min="10269" max="10269" width="0" style="1" hidden="1" customWidth="1"/>
    <col min="10270" max="10270" width="18.1640625" style="1" customWidth="1"/>
    <col min="10271" max="10271" width="16.5" style="1" customWidth="1"/>
    <col min="10272" max="10272" width="45.83203125" style="1" customWidth="1"/>
    <col min="10273" max="10273" width="44.1640625" style="1" customWidth="1"/>
    <col min="10274" max="10274" width="17" style="1" customWidth="1"/>
    <col min="10275" max="10275" width="20.1640625" style="1" customWidth="1"/>
    <col min="10276" max="10276" width="15.5" style="1" customWidth="1"/>
    <col min="10277" max="10277" width="19.83203125" style="1" customWidth="1"/>
    <col min="10278" max="10278" width="15.83203125" style="1" customWidth="1"/>
    <col min="10279" max="10281" width="19.33203125" style="1" customWidth="1"/>
    <col min="10282" max="10282" width="22.1640625" style="1" customWidth="1"/>
    <col min="10283" max="10283" width="19.1640625" style="1" customWidth="1"/>
    <col min="10284" max="10284" width="25.1640625" style="1" customWidth="1"/>
    <col min="10285" max="10285" width="12.33203125" style="1" customWidth="1"/>
    <col min="10286" max="10510" width="8.83203125" style="1"/>
    <col min="10511" max="10511" width="5.1640625" style="1" customWidth="1"/>
    <col min="10512" max="10512" width="29.33203125" style="1" customWidth="1"/>
    <col min="10513" max="10513" width="20.5" style="1" customWidth="1"/>
    <col min="10514" max="10514" width="16.83203125" style="1" customWidth="1"/>
    <col min="10515" max="10515" width="17.83203125" style="1" customWidth="1"/>
    <col min="10516" max="10516" width="14.83203125" style="1" customWidth="1"/>
    <col min="10517" max="10517" width="16.1640625" style="1" customWidth="1"/>
    <col min="10518" max="10518" width="0.1640625" style="1" customWidth="1"/>
    <col min="10519" max="10519" width="16.5" style="1" customWidth="1"/>
    <col min="10520" max="10520" width="18.83203125" style="1" customWidth="1"/>
    <col min="10521" max="10522" width="0" style="1" hidden="1" customWidth="1"/>
    <col min="10523" max="10523" width="13.83203125" style="1" customWidth="1"/>
    <col min="10524" max="10524" width="13.1640625" style="1" customWidth="1"/>
    <col min="10525" max="10525" width="0" style="1" hidden="1" customWidth="1"/>
    <col min="10526" max="10526" width="18.1640625" style="1" customWidth="1"/>
    <col min="10527" max="10527" width="16.5" style="1" customWidth="1"/>
    <col min="10528" max="10528" width="45.83203125" style="1" customWidth="1"/>
    <col min="10529" max="10529" width="44.1640625" style="1" customWidth="1"/>
    <col min="10530" max="10530" width="17" style="1" customWidth="1"/>
    <col min="10531" max="10531" width="20.1640625" style="1" customWidth="1"/>
    <col min="10532" max="10532" width="15.5" style="1" customWidth="1"/>
    <col min="10533" max="10533" width="19.83203125" style="1" customWidth="1"/>
    <col min="10534" max="10534" width="15.83203125" style="1" customWidth="1"/>
    <col min="10535" max="10537" width="19.33203125" style="1" customWidth="1"/>
    <col min="10538" max="10538" width="22.1640625" style="1" customWidth="1"/>
    <col min="10539" max="10539" width="19.1640625" style="1" customWidth="1"/>
    <col min="10540" max="10540" width="25.1640625" style="1" customWidth="1"/>
    <col min="10541" max="10541" width="12.33203125" style="1" customWidth="1"/>
    <col min="10542" max="10766" width="8.83203125" style="1"/>
    <col min="10767" max="10767" width="5.1640625" style="1" customWidth="1"/>
    <col min="10768" max="10768" width="29.33203125" style="1" customWidth="1"/>
    <col min="10769" max="10769" width="20.5" style="1" customWidth="1"/>
    <col min="10770" max="10770" width="16.83203125" style="1" customWidth="1"/>
    <col min="10771" max="10771" width="17.83203125" style="1" customWidth="1"/>
    <col min="10772" max="10772" width="14.83203125" style="1" customWidth="1"/>
    <col min="10773" max="10773" width="16.1640625" style="1" customWidth="1"/>
    <col min="10774" max="10774" width="0.1640625" style="1" customWidth="1"/>
    <col min="10775" max="10775" width="16.5" style="1" customWidth="1"/>
    <col min="10776" max="10776" width="18.83203125" style="1" customWidth="1"/>
    <col min="10777" max="10778" width="0" style="1" hidden="1" customWidth="1"/>
    <col min="10779" max="10779" width="13.83203125" style="1" customWidth="1"/>
    <col min="10780" max="10780" width="13.1640625" style="1" customWidth="1"/>
    <col min="10781" max="10781" width="0" style="1" hidden="1" customWidth="1"/>
    <col min="10782" max="10782" width="18.1640625" style="1" customWidth="1"/>
    <col min="10783" max="10783" width="16.5" style="1" customWidth="1"/>
    <col min="10784" max="10784" width="45.83203125" style="1" customWidth="1"/>
    <col min="10785" max="10785" width="44.1640625" style="1" customWidth="1"/>
    <col min="10786" max="10786" width="17" style="1" customWidth="1"/>
    <col min="10787" max="10787" width="20.1640625" style="1" customWidth="1"/>
    <col min="10788" max="10788" width="15.5" style="1" customWidth="1"/>
    <col min="10789" max="10789" width="19.83203125" style="1" customWidth="1"/>
    <col min="10790" max="10790" width="15.83203125" style="1" customWidth="1"/>
    <col min="10791" max="10793" width="19.33203125" style="1" customWidth="1"/>
    <col min="10794" max="10794" width="22.1640625" style="1" customWidth="1"/>
    <col min="10795" max="10795" width="19.1640625" style="1" customWidth="1"/>
    <col min="10796" max="10796" width="25.1640625" style="1" customWidth="1"/>
    <col min="10797" max="10797" width="12.33203125" style="1" customWidth="1"/>
    <col min="10798" max="11022" width="8.83203125" style="1"/>
    <col min="11023" max="11023" width="5.1640625" style="1" customWidth="1"/>
    <col min="11024" max="11024" width="29.33203125" style="1" customWidth="1"/>
    <col min="11025" max="11025" width="20.5" style="1" customWidth="1"/>
    <col min="11026" max="11026" width="16.83203125" style="1" customWidth="1"/>
    <col min="11027" max="11027" width="17.83203125" style="1" customWidth="1"/>
    <col min="11028" max="11028" width="14.83203125" style="1" customWidth="1"/>
    <col min="11029" max="11029" width="16.1640625" style="1" customWidth="1"/>
    <col min="11030" max="11030" width="0.1640625" style="1" customWidth="1"/>
    <col min="11031" max="11031" width="16.5" style="1" customWidth="1"/>
    <col min="11032" max="11032" width="18.83203125" style="1" customWidth="1"/>
    <col min="11033" max="11034" width="0" style="1" hidden="1" customWidth="1"/>
    <col min="11035" max="11035" width="13.83203125" style="1" customWidth="1"/>
    <col min="11036" max="11036" width="13.1640625" style="1" customWidth="1"/>
    <col min="11037" max="11037" width="0" style="1" hidden="1" customWidth="1"/>
    <col min="11038" max="11038" width="18.1640625" style="1" customWidth="1"/>
    <col min="11039" max="11039" width="16.5" style="1" customWidth="1"/>
    <col min="11040" max="11040" width="45.83203125" style="1" customWidth="1"/>
    <col min="11041" max="11041" width="44.1640625" style="1" customWidth="1"/>
    <col min="11042" max="11042" width="17" style="1" customWidth="1"/>
    <col min="11043" max="11043" width="20.1640625" style="1" customWidth="1"/>
    <col min="11044" max="11044" width="15.5" style="1" customWidth="1"/>
    <col min="11045" max="11045" width="19.83203125" style="1" customWidth="1"/>
    <col min="11046" max="11046" width="15.83203125" style="1" customWidth="1"/>
    <col min="11047" max="11049" width="19.33203125" style="1" customWidth="1"/>
    <col min="11050" max="11050" width="22.1640625" style="1" customWidth="1"/>
    <col min="11051" max="11051" width="19.1640625" style="1" customWidth="1"/>
    <col min="11052" max="11052" width="25.1640625" style="1" customWidth="1"/>
    <col min="11053" max="11053" width="12.33203125" style="1" customWidth="1"/>
    <col min="11054" max="11278" width="8.83203125" style="1"/>
    <col min="11279" max="11279" width="5.1640625" style="1" customWidth="1"/>
    <col min="11280" max="11280" width="29.33203125" style="1" customWidth="1"/>
    <col min="11281" max="11281" width="20.5" style="1" customWidth="1"/>
    <col min="11282" max="11282" width="16.83203125" style="1" customWidth="1"/>
    <col min="11283" max="11283" width="17.83203125" style="1" customWidth="1"/>
    <col min="11284" max="11284" width="14.83203125" style="1" customWidth="1"/>
    <col min="11285" max="11285" width="16.1640625" style="1" customWidth="1"/>
    <col min="11286" max="11286" width="0.1640625" style="1" customWidth="1"/>
    <col min="11287" max="11287" width="16.5" style="1" customWidth="1"/>
    <col min="11288" max="11288" width="18.83203125" style="1" customWidth="1"/>
    <col min="11289" max="11290" width="0" style="1" hidden="1" customWidth="1"/>
    <col min="11291" max="11291" width="13.83203125" style="1" customWidth="1"/>
    <col min="11292" max="11292" width="13.1640625" style="1" customWidth="1"/>
    <col min="11293" max="11293" width="0" style="1" hidden="1" customWidth="1"/>
    <col min="11294" max="11294" width="18.1640625" style="1" customWidth="1"/>
    <col min="11295" max="11295" width="16.5" style="1" customWidth="1"/>
    <col min="11296" max="11296" width="45.83203125" style="1" customWidth="1"/>
    <col min="11297" max="11297" width="44.1640625" style="1" customWidth="1"/>
    <col min="11298" max="11298" width="17" style="1" customWidth="1"/>
    <col min="11299" max="11299" width="20.1640625" style="1" customWidth="1"/>
    <col min="11300" max="11300" width="15.5" style="1" customWidth="1"/>
    <col min="11301" max="11301" width="19.83203125" style="1" customWidth="1"/>
    <col min="11302" max="11302" width="15.83203125" style="1" customWidth="1"/>
    <col min="11303" max="11305" width="19.33203125" style="1" customWidth="1"/>
    <col min="11306" max="11306" width="22.1640625" style="1" customWidth="1"/>
    <col min="11307" max="11307" width="19.1640625" style="1" customWidth="1"/>
    <col min="11308" max="11308" width="25.1640625" style="1" customWidth="1"/>
    <col min="11309" max="11309" width="12.33203125" style="1" customWidth="1"/>
    <col min="11310" max="11534" width="8.83203125" style="1"/>
    <col min="11535" max="11535" width="5.1640625" style="1" customWidth="1"/>
    <col min="11536" max="11536" width="29.33203125" style="1" customWidth="1"/>
    <col min="11537" max="11537" width="20.5" style="1" customWidth="1"/>
    <col min="11538" max="11538" width="16.83203125" style="1" customWidth="1"/>
    <col min="11539" max="11539" width="17.83203125" style="1" customWidth="1"/>
    <col min="11540" max="11540" width="14.83203125" style="1" customWidth="1"/>
    <col min="11541" max="11541" width="16.1640625" style="1" customWidth="1"/>
    <col min="11542" max="11542" width="0.1640625" style="1" customWidth="1"/>
    <col min="11543" max="11543" width="16.5" style="1" customWidth="1"/>
    <col min="11544" max="11544" width="18.83203125" style="1" customWidth="1"/>
    <col min="11545" max="11546" width="0" style="1" hidden="1" customWidth="1"/>
    <col min="11547" max="11547" width="13.83203125" style="1" customWidth="1"/>
    <col min="11548" max="11548" width="13.1640625" style="1" customWidth="1"/>
    <col min="11549" max="11549" width="0" style="1" hidden="1" customWidth="1"/>
    <col min="11550" max="11550" width="18.1640625" style="1" customWidth="1"/>
    <col min="11551" max="11551" width="16.5" style="1" customWidth="1"/>
    <col min="11552" max="11552" width="45.83203125" style="1" customWidth="1"/>
    <col min="11553" max="11553" width="44.1640625" style="1" customWidth="1"/>
    <col min="11554" max="11554" width="17" style="1" customWidth="1"/>
    <col min="11555" max="11555" width="20.1640625" style="1" customWidth="1"/>
    <col min="11556" max="11556" width="15.5" style="1" customWidth="1"/>
    <col min="11557" max="11557" width="19.83203125" style="1" customWidth="1"/>
    <col min="11558" max="11558" width="15.83203125" style="1" customWidth="1"/>
    <col min="11559" max="11561" width="19.33203125" style="1" customWidth="1"/>
    <col min="11562" max="11562" width="22.1640625" style="1" customWidth="1"/>
    <col min="11563" max="11563" width="19.1640625" style="1" customWidth="1"/>
    <col min="11564" max="11564" width="25.1640625" style="1" customWidth="1"/>
    <col min="11565" max="11565" width="12.33203125" style="1" customWidth="1"/>
    <col min="11566" max="11790" width="8.83203125" style="1"/>
    <col min="11791" max="11791" width="5.1640625" style="1" customWidth="1"/>
    <col min="11792" max="11792" width="29.33203125" style="1" customWidth="1"/>
    <col min="11793" max="11793" width="20.5" style="1" customWidth="1"/>
    <col min="11794" max="11794" width="16.83203125" style="1" customWidth="1"/>
    <col min="11795" max="11795" width="17.83203125" style="1" customWidth="1"/>
    <col min="11796" max="11796" width="14.83203125" style="1" customWidth="1"/>
    <col min="11797" max="11797" width="16.1640625" style="1" customWidth="1"/>
    <col min="11798" max="11798" width="0.1640625" style="1" customWidth="1"/>
    <col min="11799" max="11799" width="16.5" style="1" customWidth="1"/>
    <col min="11800" max="11800" width="18.83203125" style="1" customWidth="1"/>
    <col min="11801" max="11802" width="0" style="1" hidden="1" customWidth="1"/>
    <col min="11803" max="11803" width="13.83203125" style="1" customWidth="1"/>
    <col min="11804" max="11804" width="13.1640625" style="1" customWidth="1"/>
    <col min="11805" max="11805" width="0" style="1" hidden="1" customWidth="1"/>
    <col min="11806" max="11806" width="18.1640625" style="1" customWidth="1"/>
    <col min="11807" max="11807" width="16.5" style="1" customWidth="1"/>
    <col min="11808" max="11808" width="45.83203125" style="1" customWidth="1"/>
    <col min="11809" max="11809" width="44.1640625" style="1" customWidth="1"/>
    <col min="11810" max="11810" width="17" style="1" customWidth="1"/>
    <col min="11811" max="11811" width="20.1640625" style="1" customWidth="1"/>
    <col min="11812" max="11812" width="15.5" style="1" customWidth="1"/>
    <col min="11813" max="11813" width="19.83203125" style="1" customWidth="1"/>
    <col min="11814" max="11814" width="15.83203125" style="1" customWidth="1"/>
    <col min="11815" max="11817" width="19.33203125" style="1" customWidth="1"/>
    <col min="11818" max="11818" width="22.1640625" style="1" customWidth="1"/>
    <col min="11819" max="11819" width="19.1640625" style="1" customWidth="1"/>
    <col min="11820" max="11820" width="25.1640625" style="1" customWidth="1"/>
    <col min="11821" max="11821" width="12.33203125" style="1" customWidth="1"/>
    <col min="11822" max="12046" width="8.83203125" style="1"/>
    <col min="12047" max="12047" width="5.1640625" style="1" customWidth="1"/>
    <col min="12048" max="12048" width="29.33203125" style="1" customWidth="1"/>
    <col min="12049" max="12049" width="20.5" style="1" customWidth="1"/>
    <col min="12050" max="12050" width="16.83203125" style="1" customWidth="1"/>
    <col min="12051" max="12051" width="17.83203125" style="1" customWidth="1"/>
    <col min="12052" max="12052" width="14.83203125" style="1" customWidth="1"/>
    <col min="12053" max="12053" width="16.1640625" style="1" customWidth="1"/>
    <col min="12054" max="12054" width="0.1640625" style="1" customWidth="1"/>
    <col min="12055" max="12055" width="16.5" style="1" customWidth="1"/>
    <col min="12056" max="12056" width="18.83203125" style="1" customWidth="1"/>
    <col min="12057" max="12058" width="0" style="1" hidden="1" customWidth="1"/>
    <col min="12059" max="12059" width="13.83203125" style="1" customWidth="1"/>
    <col min="12060" max="12060" width="13.1640625" style="1" customWidth="1"/>
    <col min="12061" max="12061" width="0" style="1" hidden="1" customWidth="1"/>
    <col min="12062" max="12062" width="18.1640625" style="1" customWidth="1"/>
    <col min="12063" max="12063" width="16.5" style="1" customWidth="1"/>
    <col min="12064" max="12064" width="45.83203125" style="1" customWidth="1"/>
    <col min="12065" max="12065" width="44.1640625" style="1" customWidth="1"/>
    <col min="12066" max="12066" width="17" style="1" customWidth="1"/>
    <col min="12067" max="12067" width="20.1640625" style="1" customWidth="1"/>
    <col min="12068" max="12068" width="15.5" style="1" customWidth="1"/>
    <col min="12069" max="12069" width="19.83203125" style="1" customWidth="1"/>
    <col min="12070" max="12070" width="15.83203125" style="1" customWidth="1"/>
    <col min="12071" max="12073" width="19.33203125" style="1" customWidth="1"/>
    <col min="12074" max="12074" width="22.1640625" style="1" customWidth="1"/>
    <col min="12075" max="12075" width="19.1640625" style="1" customWidth="1"/>
    <col min="12076" max="12076" width="25.1640625" style="1" customWidth="1"/>
    <col min="12077" max="12077" width="12.33203125" style="1" customWidth="1"/>
    <col min="12078" max="12302" width="8.83203125" style="1"/>
    <col min="12303" max="12303" width="5.1640625" style="1" customWidth="1"/>
    <col min="12304" max="12304" width="29.33203125" style="1" customWidth="1"/>
    <col min="12305" max="12305" width="20.5" style="1" customWidth="1"/>
    <col min="12306" max="12306" width="16.83203125" style="1" customWidth="1"/>
    <col min="12307" max="12307" width="17.83203125" style="1" customWidth="1"/>
    <col min="12308" max="12308" width="14.83203125" style="1" customWidth="1"/>
    <col min="12309" max="12309" width="16.1640625" style="1" customWidth="1"/>
    <col min="12310" max="12310" width="0.1640625" style="1" customWidth="1"/>
    <col min="12311" max="12311" width="16.5" style="1" customWidth="1"/>
    <col min="12312" max="12312" width="18.83203125" style="1" customWidth="1"/>
    <col min="12313" max="12314" width="0" style="1" hidden="1" customWidth="1"/>
    <col min="12315" max="12315" width="13.83203125" style="1" customWidth="1"/>
    <col min="12316" max="12316" width="13.1640625" style="1" customWidth="1"/>
    <col min="12317" max="12317" width="0" style="1" hidden="1" customWidth="1"/>
    <col min="12318" max="12318" width="18.1640625" style="1" customWidth="1"/>
    <col min="12319" max="12319" width="16.5" style="1" customWidth="1"/>
    <col min="12320" max="12320" width="45.83203125" style="1" customWidth="1"/>
    <col min="12321" max="12321" width="44.1640625" style="1" customWidth="1"/>
    <col min="12322" max="12322" width="17" style="1" customWidth="1"/>
    <col min="12323" max="12323" width="20.1640625" style="1" customWidth="1"/>
    <col min="12324" max="12324" width="15.5" style="1" customWidth="1"/>
    <col min="12325" max="12325" width="19.83203125" style="1" customWidth="1"/>
    <col min="12326" max="12326" width="15.83203125" style="1" customWidth="1"/>
    <col min="12327" max="12329" width="19.33203125" style="1" customWidth="1"/>
    <col min="12330" max="12330" width="22.1640625" style="1" customWidth="1"/>
    <col min="12331" max="12331" width="19.1640625" style="1" customWidth="1"/>
    <col min="12332" max="12332" width="25.1640625" style="1" customWidth="1"/>
    <col min="12333" max="12333" width="12.33203125" style="1" customWidth="1"/>
    <col min="12334" max="12558" width="8.83203125" style="1"/>
    <col min="12559" max="12559" width="5.1640625" style="1" customWidth="1"/>
    <col min="12560" max="12560" width="29.33203125" style="1" customWidth="1"/>
    <col min="12561" max="12561" width="20.5" style="1" customWidth="1"/>
    <col min="12562" max="12562" width="16.83203125" style="1" customWidth="1"/>
    <col min="12563" max="12563" width="17.83203125" style="1" customWidth="1"/>
    <col min="12564" max="12564" width="14.83203125" style="1" customWidth="1"/>
    <col min="12565" max="12565" width="16.1640625" style="1" customWidth="1"/>
    <col min="12566" max="12566" width="0.1640625" style="1" customWidth="1"/>
    <col min="12567" max="12567" width="16.5" style="1" customWidth="1"/>
    <col min="12568" max="12568" width="18.83203125" style="1" customWidth="1"/>
    <col min="12569" max="12570" width="0" style="1" hidden="1" customWidth="1"/>
    <col min="12571" max="12571" width="13.83203125" style="1" customWidth="1"/>
    <col min="12572" max="12572" width="13.1640625" style="1" customWidth="1"/>
    <col min="12573" max="12573" width="0" style="1" hidden="1" customWidth="1"/>
    <col min="12574" max="12574" width="18.1640625" style="1" customWidth="1"/>
    <col min="12575" max="12575" width="16.5" style="1" customWidth="1"/>
    <col min="12576" max="12576" width="45.83203125" style="1" customWidth="1"/>
    <col min="12577" max="12577" width="44.1640625" style="1" customWidth="1"/>
    <col min="12578" max="12578" width="17" style="1" customWidth="1"/>
    <col min="12579" max="12579" width="20.1640625" style="1" customWidth="1"/>
    <col min="12580" max="12580" width="15.5" style="1" customWidth="1"/>
    <col min="12581" max="12581" width="19.83203125" style="1" customWidth="1"/>
    <col min="12582" max="12582" width="15.83203125" style="1" customWidth="1"/>
    <col min="12583" max="12585" width="19.33203125" style="1" customWidth="1"/>
    <col min="12586" max="12586" width="22.1640625" style="1" customWidth="1"/>
    <col min="12587" max="12587" width="19.1640625" style="1" customWidth="1"/>
    <col min="12588" max="12588" width="25.1640625" style="1" customWidth="1"/>
    <col min="12589" max="12589" width="12.33203125" style="1" customWidth="1"/>
    <col min="12590" max="12814" width="8.83203125" style="1"/>
    <col min="12815" max="12815" width="5.1640625" style="1" customWidth="1"/>
    <col min="12816" max="12816" width="29.33203125" style="1" customWidth="1"/>
    <col min="12817" max="12817" width="20.5" style="1" customWidth="1"/>
    <col min="12818" max="12818" width="16.83203125" style="1" customWidth="1"/>
    <col min="12819" max="12819" width="17.83203125" style="1" customWidth="1"/>
    <col min="12820" max="12820" width="14.83203125" style="1" customWidth="1"/>
    <col min="12821" max="12821" width="16.1640625" style="1" customWidth="1"/>
    <col min="12822" max="12822" width="0.1640625" style="1" customWidth="1"/>
    <col min="12823" max="12823" width="16.5" style="1" customWidth="1"/>
    <col min="12824" max="12824" width="18.83203125" style="1" customWidth="1"/>
    <col min="12825" max="12826" width="0" style="1" hidden="1" customWidth="1"/>
    <col min="12827" max="12827" width="13.83203125" style="1" customWidth="1"/>
    <col min="12828" max="12828" width="13.1640625" style="1" customWidth="1"/>
    <col min="12829" max="12829" width="0" style="1" hidden="1" customWidth="1"/>
    <col min="12830" max="12830" width="18.1640625" style="1" customWidth="1"/>
    <col min="12831" max="12831" width="16.5" style="1" customWidth="1"/>
    <col min="12832" max="12832" width="45.83203125" style="1" customWidth="1"/>
    <col min="12833" max="12833" width="44.1640625" style="1" customWidth="1"/>
    <col min="12834" max="12834" width="17" style="1" customWidth="1"/>
    <col min="12835" max="12835" width="20.1640625" style="1" customWidth="1"/>
    <col min="12836" max="12836" width="15.5" style="1" customWidth="1"/>
    <col min="12837" max="12837" width="19.83203125" style="1" customWidth="1"/>
    <col min="12838" max="12838" width="15.83203125" style="1" customWidth="1"/>
    <col min="12839" max="12841" width="19.33203125" style="1" customWidth="1"/>
    <col min="12842" max="12842" width="22.1640625" style="1" customWidth="1"/>
    <col min="12843" max="12843" width="19.1640625" style="1" customWidth="1"/>
    <col min="12844" max="12844" width="25.1640625" style="1" customWidth="1"/>
    <col min="12845" max="12845" width="12.33203125" style="1" customWidth="1"/>
    <col min="12846" max="13070" width="8.83203125" style="1"/>
    <col min="13071" max="13071" width="5.1640625" style="1" customWidth="1"/>
    <col min="13072" max="13072" width="29.33203125" style="1" customWidth="1"/>
    <col min="13073" max="13073" width="20.5" style="1" customWidth="1"/>
    <col min="13074" max="13074" width="16.83203125" style="1" customWidth="1"/>
    <col min="13075" max="13075" width="17.83203125" style="1" customWidth="1"/>
    <col min="13076" max="13076" width="14.83203125" style="1" customWidth="1"/>
    <col min="13077" max="13077" width="16.1640625" style="1" customWidth="1"/>
    <col min="13078" max="13078" width="0.1640625" style="1" customWidth="1"/>
    <col min="13079" max="13079" width="16.5" style="1" customWidth="1"/>
    <col min="13080" max="13080" width="18.83203125" style="1" customWidth="1"/>
    <col min="13081" max="13082" width="0" style="1" hidden="1" customWidth="1"/>
    <col min="13083" max="13083" width="13.83203125" style="1" customWidth="1"/>
    <col min="13084" max="13084" width="13.1640625" style="1" customWidth="1"/>
    <col min="13085" max="13085" width="0" style="1" hidden="1" customWidth="1"/>
    <col min="13086" max="13086" width="18.1640625" style="1" customWidth="1"/>
    <col min="13087" max="13087" width="16.5" style="1" customWidth="1"/>
    <col min="13088" max="13088" width="45.83203125" style="1" customWidth="1"/>
    <col min="13089" max="13089" width="44.1640625" style="1" customWidth="1"/>
    <col min="13090" max="13090" width="17" style="1" customWidth="1"/>
    <col min="13091" max="13091" width="20.1640625" style="1" customWidth="1"/>
    <col min="13092" max="13092" width="15.5" style="1" customWidth="1"/>
    <col min="13093" max="13093" width="19.83203125" style="1" customWidth="1"/>
    <col min="13094" max="13094" width="15.83203125" style="1" customWidth="1"/>
    <col min="13095" max="13097" width="19.33203125" style="1" customWidth="1"/>
    <col min="13098" max="13098" width="22.1640625" style="1" customWidth="1"/>
    <col min="13099" max="13099" width="19.1640625" style="1" customWidth="1"/>
    <col min="13100" max="13100" width="25.1640625" style="1" customWidth="1"/>
    <col min="13101" max="13101" width="12.33203125" style="1" customWidth="1"/>
    <col min="13102" max="13326" width="8.83203125" style="1"/>
    <col min="13327" max="13327" width="5.1640625" style="1" customWidth="1"/>
    <col min="13328" max="13328" width="29.33203125" style="1" customWidth="1"/>
    <col min="13329" max="13329" width="20.5" style="1" customWidth="1"/>
    <col min="13330" max="13330" width="16.83203125" style="1" customWidth="1"/>
    <col min="13331" max="13331" width="17.83203125" style="1" customWidth="1"/>
    <col min="13332" max="13332" width="14.83203125" style="1" customWidth="1"/>
    <col min="13333" max="13333" width="16.1640625" style="1" customWidth="1"/>
    <col min="13334" max="13334" width="0.1640625" style="1" customWidth="1"/>
    <col min="13335" max="13335" width="16.5" style="1" customWidth="1"/>
    <col min="13336" max="13336" width="18.83203125" style="1" customWidth="1"/>
    <col min="13337" max="13338" width="0" style="1" hidden="1" customWidth="1"/>
    <col min="13339" max="13339" width="13.83203125" style="1" customWidth="1"/>
    <col min="13340" max="13340" width="13.1640625" style="1" customWidth="1"/>
    <col min="13341" max="13341" width="0" style="1" hidden="1" customWidth="1"/>
    <col min="13342" max="13342" width="18.1640625" style="1" customWidth="1"/>
    <col min="13343" max="13343" width="16.5" style="1" customWidth="1"/>
    <col min="13344" max="13344" width="45.83203125" style="1" customWidth="1"/>
    <col min="13345" max="13345" width="44.1640625" style="1" customWidth="1"/>
    <col min="13346" max="13346" width="17" style="1" customWidth="1"/>
    <col min="13347" max="13347" width="20.1640625" style="1" customWidth="1"/>
    <col min="13348" max="13348" width="15.5" style="1" customWidth="1"/>
    <col min="13349" max="13349" width="19.83203125" style="1" customWidth="1"/>
    <col min="13350" max="13350" width="15.83203125" style="1" customWidth="1"/>
    <col min="13351" max="13353" width="19.33203125" style="1" customWidth="1"/>
    <col min="13354" max="13354" width="22.1640625" style="1" customWidth="1"/>
    <col min="13355" max="13355" width="19.1640625" style="1" customWidth="1"/>
    <col min="13356" max="13356" width="25.1640625" style="1" customWidth="1"/>
    <col min="13357" max="13357" width="12.33203125" style="1" customWidth="1"/>
    <col min="13358" max="13582" width="8.83203125" style="1"/>
    <col min="13583" max="13583" width="5.1640625" style="1" customWidth="1"/>
    <col min="13584" max="13584" width="29.33203125" style="1" customWidth="1"/>
    <col min="13585" max="13585" width="20.5" style="1" customWidth="1"/>
    <col min="13586" max="13586" width="16.83203125" style="1" customWidth="1"/>
    <col min="13587" max="13587" width="17.83203125" style="1" customWidth="1"/>
    <col min="13588" max="13588" width="14.83203125" style="1" customWidth="1"/>
    <col min="13589" max="13589" width="16.1640625" style="1" customWidth="1"/>
    <col min="13590" max="13590" width="0.1640625" style="1" customWidth="1"/>
    <col min="13591" max="13591" width="16.5" style="1" customWidth="1"/>
    <col min="13592" max="13592" width="18.83203125" style="1" customWidth="1"/>
    <col min="13593" max="13594" width="0" style="1" hidden="1" customWidth="1"/>
    <col min="13595" max="13595" width="13.83203125" style="1" customWidth="1"/>
    <col min="13596" max="13596" width="13.1640625" style="1" customWidth="1"/>
    <col min="13597" max="13597" width="0" style="1" hidden="1" customWidth="1"/>
    <col min="13598" max="13598" width="18.1640625" style="1" customWidth="1"/>
    <col min="13599" max="13599" width="16.5" style="1" customWidth="1"/>
    <col min="13600" max="13600" width="45.83203125" style="1" customWidth="1"/>
    <col min="13601" max="13601" width="44.1640625" style="1" customWidth="1"/>
    <col min="13602" max="13602" width="17" style="1" customWidth="1"/>
    <col min="13603" max="13603" width="20.1640625" style="1" customWidth="1"/>
    <col min="13604" max="13604" width="15.5" style="1" customWidth="1"/>
    <col min="13605" max="13605" width="19.83203125" style="1" customWidth="1"/>
    <col min="13606" max="13606" width="15.83203125" style="1" customWidth="1"/>
    <col min="13607" max="13609" width="19.33203125" style="1" customWidth="1"/>
    <col min="13610" max="13610" width="22.1640625" style="1" customWidth="1"/>
    <col min="13611" max="13611" width="19.1640625" style="1" customWidth="1"/>
    <col min="13612" max="13612" width="25.1640625" style="1" customWidth="1"/>
    <col min="13613" max="13613" width="12.33203125" style="1" customWidth="1"/>
    <col min="13614" max="13838" width="8.83203125" style="1"/>
    <col min="13839" max="13839" width="5.1640625" style="1" customWidth="1"/>
    <col min="13840" max="13840" width="29.33203125" style="1" customWidth="1"/>
    <col min="13841" max="13841" width="20.5" style="1" customWidth="1"/>
    <col min="13842" max="13842" width="16.83203125" style="1" customWidth="1"/>
    <col min="13843" max="13843" width="17.83203125" style="1" customWidth="1"/>
    <col min="13844" max="13844" width="14.83203125" style="1" customWidth="1"/>
    <col min="13845" max="13845" width="16.1640625" style="1" customWidth="1"/>
    <col min="13846" max="13846" width="0.1640625" style="1" customWidth="1"/>
    <col min="13847" max="13847" width="16.5" style="1" customWidth="1"/>
    <col min="13848" max="13848" width="18.83203125" style="1" customWidth="1"/>
    <col min="13849" max="13850" width="0" style="1" hidden="1" customWidth="1"/>
    <col min="13851" max="13851" width="13.83203125" style="1" customWidth="1"/>
    <col min="13852" max="13852" width="13.1640625" style="1" customWidth="1"/>
    <col min="13853" max="13853" width="0" style="1" hidden="1" customWidth="1"/>
    <col min="13854" max="13854" width="18.1640625" style="1" customWidth="1"/>
    <col min="13855" max="13855" width="16.5" style="1" customWidth="1"/>
    <col min="13856" max="13856" width="45.83203125" style="1" customWidth="1"/>
    <col min="13857" max="13857" width="44.1640625" style="1" customWidth="1"/>
    <col min="13858" max="13858" width="17" style="1" customWidth="1"/>
    <col min="13859" max="13859" width="20.1640625" style="1" customWidth="1"/>
    <col min="13860" max="13860" width="15.5" style="1" customWidth="1"/>
    <col min="13861" max="13861" width="19.83203125" style="1" customWidth="1"/>
    <col min="13862" max="13862" width="15.83203125" style="1" customWidth="1"/>
    <col min="13863" max="13865" width="19.33203125" style="1" customWidth="1"/>
    <col min="13866" max="13866" width="22.1640625" style="1" customWidth="1"/>
    <col min="13867" max="13867" width="19.1640625" style="1" customWidth="1"/>
    <col min="13868" max="13868" width="25.1640625" style="1" customWidth="1"/>
    <col min="13869" max="13869" width="12.33203125" style="1" customWidth="1"/>
    <col min="13870" max="14094" width="8.83203125" style="1"/>
    <col min="14095" max="14095" width="5.1640625" style="1" customWidth="1"/>
    <col min="14096" max="14096" width="29.33203125" style="1" customWidth="1"/>
    <col min="14097" max="14097" width="20.5" style="1" customWidth="1"/>
    <col min="14098" max="14098" width="16.83203125" style="1" customWidth="1"/>
    <col min="14099" max="14099" width="17.83203125" style="1" customWidth="1"/>
    <col min="14100" max="14100" width="14.83203125" style="1" customWidth="1"/>
    <col min="14101" max="14101" width="16.1640625" style="1" customWidth="1"/>
    <col min="14102" max="14102" width="0.1640625" style="1" customWidth="1"/>
    <col min="14103" max="14103" width="16.5" style="1" customWidth="1"/>
    <col min="14104" max="14104" width="18.83203125" style="1" customWidth="1"/>
    <col min="14105" max="14106" width="0" style="1" hidden="1" customWidth="1"/>
    <col min="14107" max="14107" width="13.83203125" style="1" customWidth="1"/>
    <col min="14108" max="14108" width="13.1640625" style="1" customWidth="1"/>
    <col min="14109" max="14109" width="0" style="1" hidden="1" customWidth="1"/>
    <col min="14110" max="14110" width="18.1640625" style="1" customWidth="1"/>
    <col min="14111" max="14111" width="16.5" style="1" customWidth="1"/>
    <col min="14112" max="14112" width="45.83203125" style="1" customWidth="1"/>
    <col min="14113" max="14113" width="44.1640625" style="1" customWidth="1"/>
    <col min="14114" max="14114" width="17" style="1" customWidth="1"/>
    <col min="14115" max="14115" width="20.1640625" style="1" customWidth="1"/>
    <col min="14116" max="14116" width="15.5" style="1" customWidth="1"/>
    <col min="14117" max="14117" width="19.83203125" style="1" customWidth="1"/>
    <col min="14118" max="14118" width="15.83203125" style="1" customWidth="1"/>
    <col min="14119" max="14121" width="19.33203125" style="1" customWidth="1"/>
    <col min="14122" max="14122" width="22.1640625" style="1" customWidth="1"/>
    <col min="14123" max="14123" width="19.1640625" style="1" customWidth="1"/>
    <col min="14124" max="14124" width="25.1640625" style="1" customWidth="1"/>
    <col min="14125" max="14125" width="12.33203125" style="1" customWidth="1"/>
    <col min="14126" max="14350" width="8.83203125" style="1"/>
    <col min="14351" max="14351" width="5.1640625" style="1" customWidth="1"/>
    <col min="14352" max="14352" width="29.33203125" style="1" customWidth="1"/>
    <col min="14353" max="14353" width="20.5" style="1" customWidth="1"/>
    <col min="14354" max="14354" width="16.83203125" style="1" customWidth="1"/>
    <col min="14355" max="14355" width="17.83203125" style="1" customWidth="1"/>
    <col min="14356" max="14356" width="14.83203125" style="1" customWidth="1"/>
    <col min="14357" max="14357" width="16.1640625" style="1" customWidth="1"/>
    <col min="14358" max="14358" width="0.1640625" style="1" customWidth="1"/>
    <col min="14359" max="14359" width="16.5" style="1" customWidth="1"/>
    <col min="14360" max="14360" width="18.83203125" style="1" customWidth="1"/>
    <col min="14361" max="14362" width="0" style="1" hidden="1" customWidth="1"/>
    <col min="14363" max="14363" width="13.83203125" style="1" customWidth="1"/>
    <col min="14364" max="14364" width="13.1640625" style="1" customWidth="1"/>
    <col min="14365" max="14365" width="0" style="1" hidden="1" customWidth="1"/>
    <col min="14366" max="14366" width="18.1640625" style="1" customWidth="1"/>
    <col min="14367" max="14367" width="16.5" style="1" customWidth="1"/>
    <col min="14368" max="14368" width="45.83203125" style="1" customWidth="1"/>
    <col min="14369" max="14369" width="44.1640625" style="1" customWidth="1"/>
    <col min="14370" max="14370" width="17" style="1" customWidth="1"/>
    <col min="14371" max="14371" width="20.1640625" style="1" customWidth="1"/>
    <col min="14372" max="14372" width="15.5" style="1" customWidth="1"/>
    <col min="14373" max="14373" width="19.83203125" style="1" customWidth="1"/>
    <col min="14374" max="14374" width="15.83203125" style="1" customWidth="1"/>
    <col min="14375" max="14377" width="19.33203125" style="1" customWidth="1"/>
    <col min="14378" max="14378" width="22.1640625" style="1" customWidth="1"/>
    <col min="14379" max="14379" width="19.1640625" style="1" customWidth="1"/>
    <col min="14380" max="14380" width="25.1640625" style="1" customWidth="1"/>
    <col min="14381" max="14381" width="12.33203125" style="1" customWidth="1"/>
    <col min="14382" max="14606" width="8.83203125" style="1"/>
    <col min="14607" max="14607" width="5.1640625" style="1" customWidth="1"/>
    <col min="14608" max="14608" width="29.33203125" style="1" customWidth="1"/>
    <col min="14609" max="14609" width="20.5" style="1" customWidth="1"/>
    <col min="14610" max="14610" width="16.83203125" style="1" customWidth="1"/>
    <col min="14611" max="14611" width="17.83203125" style="1" customWidth="1"/>
    <col min="14612" max="14612" width="14.83203125" style="1" customWidth="1"/>
    <col min="14613" max="14613" width="16.1640625" style="1" customWidth="1"/>
    <col min="14614" max="14614" width="0.1640625" style="1" customWidth="1"/>
    <col min="14615" max="14615" width="16.5" style="1" customWidth="1"/>
    <col min="14616" max="14616" width="18.83203125" style="1" customWidth="1"/>
    <col min="14617" max="14618" width="0" style="1" hidden="1" customWidth="1"/>
    <col min="14619" max="14619" width="13.83203125" style="1" customWidth="1"/>
    <col min="14620" max="14620" width="13.1640625" style="1" customWidth="1"/>
    <col min="14621" max="14621" width="0" style="1" hidden="1" customWidth="1"/>
    <col min="14622" max="14622" width="18.1640625" style="1" customWidth="1"/>
    <col min="14623" max="14623" width="16.5" style="1" customWidth="1"/>
    <col min="14624" max="14624" width="45.83203125" style="1" customWidth="1"/>
    <col min="14625" max="14625" width="44.1640625" style="1" customWidth="1"/>
    <col min="14626" max="14626" width="17" style="1" customWidth="1"/>
    <col min="14627" max="14627" width="20.1640625" style="1" customWidth="1"/>
    <col min="14628" max="14628" width="15.5" style="1" customWidth="1"/>
    <col min="14629" max="14629" width="19.83203125" style="1" customWidth="1"/>
    <col min="14630" max="14630" width="15.83203125" style="1" customWidth="1"/>
    <col min="14631" max="14633" width="19.33203125" style="1" customWidth="1"/>
    <col min="14634" max="14634" width="22.1640625" style="1" customWidth="1"/>
    <col min="14635" max="14635" width="19.1640625" style="1" customWidth="1"/>
    <col min="14636" max="14636" width="25.1640625" style="1" customWidth="1"/>
    <col min="14637" max="14637" width="12.33203125" style="1" customWidth="1"/>
    <col min="14638" max="14862" width="8.83203125" style="1"/>
    <col min="14863" max="14863" width="5.1640625" style="1" customWidth="1"/>
    <col min="14864" max="14864" width="29.33203125" style="1" customWidth="1"/>
    <col min="14865" max="14865" width="20.5" style="1" customWidth="1"/>
    <col min="14866" max="14866" width="16.83203125" style="1" customWidth="1"/>
    <col min="14867" max="14867" width="17.83203125" style="1" customWidth="1"/>
    <col min="14868" max="14868" width="14.83203125" style="1" customWidth="1"/>
    <col min="14869" max="14869" width="16.1640625" style="1" customWidth="1"/>
    <col min="14870" max="14870" width="0.1640625" style="1" customWidth="1"/>
    <col min="14871" max="14871" width="16.5" style="1" customWidth="1"/>
    <col min="14872" max="14872" width="18.83203125" style="1" customWidth="1"/>
    <col min="14873" max="14874" width="0" style="1" hidden="1" customWidth="1"/>
    <col min="14875" max="14875" width="13.83203125" style="1" customWidth="1"/>
    <col min="14876" max="14876" width="13.1640625" style="1" customWidth="1"/>
    <col min="14877" max="14877" width="0" style="1" hidden="1" customWidth="1"/>
    <col min="14878" max="14878" width="18.1640625" style="1" customWidth="1"/>
    <col min="14879" max="14879" width="16.5" style="1" customWidth="1"/>
    <col min="14880" max="14880" width="45.83203125" style="1" customWidth="1"/>
    <col min="14881" max="14881" width="44.1640625" style="1" customWidth="1"/>
    <col min="14882" max="14882" width="17" style="1" customWidth="1"/>
    <col min="14883" max="14883" width="20.1640625" style="1" customWidth="1"/>
    <col min="14884" max="14884" width="15.5" style="1" customWidth="1"/>
    <col min="14885" max="14885" width="19.83203125" style="1" customWidth="1"/>
    <col min="14886" max="14886" width="15.83203125" style="1" customWidth="1"/>
    <col min="14887" max="14889" width="19.33203125" style="1" customWidth="1"/>
    <col min="14890" max="14890" width="22.1640625" style="1" customWidth="1"/>
    <col min="14891" max="14891" width="19.1640625" style="1" customWidth="1"/>
    <col min="14892" max="14892" width="25.1640625" style="1" customWidth="1"/>
    <col min="14893" max="14893" width="12.33203125" style="1" customWidth="1"/>
    <col min="14894" max="15118" width="8.83203125" style="1"/>
    <col min="15119" max="15119" width="5.1640625" style="1" customWidth="1"/>
    <col min="15120" max="15120" width="29.33203125" style="1" customWidth="1"/>
    <col min="15121" max="15121" width="20.5" style="1" customWidth="1"/>
    <col min="15122" max="15122" width="16.83203125" style="1" customWidth="1"/>
    <col min="15123" max="15123" width="17.83203125" style="1" customWidth="1"/>
    <col min="15124" max="15124" width="14.83203125" style="1" customWidth="1"/>
    <col min="15125" max="15125" width="16.1640625" style="1" customWidth="1"/>
    <col min="15126" max="15126" width="0.1640625" style="1" customWidth="1"/>
    <col min="15127" max="15127" width="16.5" style="1" customWidth="1"/>
    <col min="15128" max="15128" width="18.83203125" style="1" customWidth="1"/>
    <col min="15129" max="15130" width="0" style="1" hidden="1" customWidth="1"/>
    <col min="15131" max="15131" width="13.83203125" style="1" customWidth="1"/>
    <col min="15132" max="15132" width="13.1640625" style="1" customWidth="1"/>
    <col min="15133" max="15133" width="0" style="1" hidden="1" customWidth="1"/>
    <col min="15134" max="15134" width="18.1640625" style="1" customWidth="1"/>
    <col min="15135" max="15135" width="16.5" style="1" customWidth="1"/>
    <col min="15136" max="15136" width="45.83203125" style="1" customWidth="1"/>
    <col min="15137" max="15137" width="44.1640625" style="1" customWidth="1"/>
    <col min="15138" max="15138" width="17" style="1" customWidth="1"/>
    <col min="15139" max="15139" width="20.1640625" style="1" customWidth="1"/>
    <col min="15140" max="15140" width="15.5" style="1" customWidth="1"/>
    <col min="15141" max="15141" width="19.83203125" style="1" customWidth="1"/>
    <col min="15142" max="15142" width="15.83203125" style="1" customWidth="1"/>
    <col min="15143" max="15145" width="19.33203125" style="1" customWidth="1"/>
    <col min="15146" max="15146" width="22.1640625" style="1" customWidth="1"/>
    <col min="15147" max="15147" width="19.1640625" style="1" customWidth="1"/>
    <col min="15148" max="15148" width="25.1640625" style="1" customWidth="1"/>
    <col min="15149" max="15149" width="12.33203125" style="1" customWidth="1"/>
    <col min="15150" max="15374" width="8.83203125" style="1"/>
    <col min="15375" max="15375" width="5.1640625" style="1" customWidth="1"/>
    <col min="15376" max="15376" width="29.33203125" style="1" customWidth="1"/>
    <col min="15377" max="15377" width="20.5" style="1" customWidth="1"/>
    <col min="15378" max="15378" width="16.83203125" style="1" customWidth="1"/>
    <col min="15379" max="15379" width="17.83203125" style="1" customWidth="1"/>
    <col min="15380" max="15380" width="14.83203125" style="1" customWidth="1"/>
    <col min="15381" max="15381" width="16.1640625" style="1" customWidth="1"/>
    <col min="15382" max="15382" width="0.1640625" style="1" customWidth="1"/>
    <col min="15383" max="15383" width="16.5" style="1" customWidth="1"/>
    <col min="15384" max="15384" width="18.83203125" style="1" customWidth="1"/>
    <col min="15385" max="15386" width="0" style="1" hidden="1" customWidth="1"/>
    <col min="15387" max="15387" width="13.83203125" style="1" customWidth="1"/>
    <col min="15388" max="15388" width="13.1640625" style="1" customWidth="1"/>
    <col min="15389" max="15389" width="0" style="1" hidden="1" customWidth="1"/>
    <col min="15390" max="15390" width="18.1640625" style="1" customWidth="1"/>
    <col min="15391" max="15391" width="16.5" style="1" customWidth="1"/>
    <col min="15392" max="15392" width="45.83203125" style="1" customWidth="1"/>
    <col min="15393" max="15393" width="44.1640625" style="1" customWidth="1"/>
    <col min="15394" max="15394" width="17" style="1" customWidth="1"/>
    <col min="15395" max="15395" width="20.1640625" style="1" customWidth="1"/>
    <col min="15396" max="15396" width="15.5" style="1" customWidth="1"/>
    <col min="15397" max="15397" width="19.83203125" style="1" customWidth="1"/>
    <col min="15398" max="15398" width="15.83203125" style="1" customWidth="1"/>
    <col min="15399" max="15401" width="19.33203125" style="1" customWidth="1"/>
    <col min="15402" max="15402" width="22.1640625" style="1" customWidth="1"/>
    <col min="15403" max="15403" width="19.1640625" style="1" customWidth="1"/>
    <col min="15404" max="15404" width="25.1640625" style="1" customWidth="1"/>
    <col min="15405" max="15405" width="12.33203125" style="1" customWidth="1"/>
    <col min="15406" max="15630" width="8.83203125" style="1"/>
    <col min="15631" max="15631" width="5.1640625" style="1" customWidth="1"/>
    <col min="15632" max="15632" width="29.33203125" style="1" customWidth="1"/>
    <col min="15633" max="15633" width="20.5" style="1" customWidth="1"/>
    <col min="15634" max="15634" width="16.83203125" style="1" customWidth="1"/>
    <col min="15635" max="15635" width="17.83203125" style="1" customWidth="1"/>
    <col min="15636" max="15636" width="14.83203125" style="1" customWidth="1"/>
    <col min="15637" max="15637" width="16.1640625" style="1" customWidth="1"/>
    <col min="15638" max="15638" width="0.1640625" style="1" customWidth="1"/>
    <col min="15639" max="15639" width="16.5" style="1" customWidth="1"/>
    <col min="15640" max="15640" width="18.83203125" style="1" customWidth="1"/>
    <col min="15641" max="15642" width="0" style="1" hidden="1" customWidth="1"/>
    <col min="15643" max="15643" width="13.83203125" style="1" customWidth="1"/>
    <col min="15644" max="15644" width="13.1640625" style="1" customWidth="1"/>
    <col min="15645" max="15645" width="0" style="1" hidden="1" customWidth="1"/>
    <col min="15646" max="15646" width="18.1640625" style="1" customWidth="1"/>
    <col min="15647" max="15647" width="16.5" style="1" customWidth="1"/>
    <col min="15648" max="15648" width="45.83203125" style="1" customWidth="1"/>
    <col min="15649" max="15649" width="44.1640625" style="1" customWidth="1"/>
    <col min="15650" max="15650" width="17" style="1" customWidth="1"/>
    <col min="15651" max="15651" width="20.1640625" style="1" customWidth="1"/>
    <col min="15652" max="15652" width="15.5" style="1" customWidth="1"/>
    <col min="15653" max="15653" width="19.83203125" style="1" customWidth="1"/>
    <col min="15654" max="15654" width="15.83203125" style="1" customWidth="1"/>
    <col min="15655" max="15657" width="19.33203125" style="1" customWidth="1"/>
    <col min="15658" max="15658" width="22.1640625" style="1" customWidth="1"/>
    <col min="15659" max="15659" width="19.1640625" style="1" customWidth="1"/>
    <col min="15660" max="15660" width="25.1640625" style="1" customWidth="1"/>
    <col min="15661" max="15661" width="12.33203125" style="1" customWidth="1"/>
    <col min="15662" max="15886" width="8.83203125" style="1"/>
    <col min="15887" max="15887" width="5.1640625" style="1" customWidth="1"/>
    <col min="15888" max="15888" width="29.33203125" style="1" customWidth="1"/>
    <col min="15889" max="15889" width="20.5" style="1" customWidth="1"/>
    <col min="15890" max="15890" width="16.83203125" style="1" customWidth="1"/>
    <col min="15891" max="15891" width="17.83203125" style="1" customWidth="1"/>
    <col min="15892" max="15892" width="14.83203125" style="1" customWidth="1"/>
    <col min="15893" max="15893" width="16.1640625" style="1" customWidth="1"/>
    <col min="15894" max="15894" width="0.1640625" style="1" customWidth="1"/>
    <col min="15895" max="15895" width="16.5" style="1" customWidth="1"/>
    <col min="15896" max="15896" width="18.83203125" style="1" customWidth="1"/>
    <col min="15897" max="15898" width="0" style="1" hidden="1" customWidth="1"/>
    <col min="15899" max="15899" width="13.83203125" style="1" customWidth="1"/>
    <col min="15900" max="15900" width="13.1640625" style="1" customWidth="1"/>
    <col min="15901" max="15901" width="0" style="1" hidden="1" customWidth="1"/>
    <col min="15902" max="15902" width="18.1640625" style="1" customWidth="1"/>
    <col min="15903" max="15903" width="16.5" style="1" customWidth="1"/>
    <col min="15904" max="15904" width="45.83203125" style="1" customWidth="1"/>
    <col min="15905" max="15905" width="44.1640625" style="1" customWidth="1"/>
    <col min="15906" max="15906" width="17" style="1" customWidth="1"/>
    <col min="15907" max="15907" width="20.1640625" style="1" customWidth="1"/>
    <col min="15908" max="15908" width="15.5" style="1" customWidth="1"/>
    <col min="15909" max="15909" width="19.83203125" style="1" customWidth="1"/>
    <col min="15910" max="15910" width="15.83203125" style="1" customWidth="1"/>
    <col min="15911" max="15913" width="19.33203125" style="1" customWidth="1"/>
    <col min="15914" max="15914" width="22.1640625" style="1" customWidth="1"/>
    <col min="15915" max="15915" width="19.1640625" style="1" customWidth="1"/>
    <col min="15916" max="15916" width="25.1640625" style="1" customWidth="1"/>
    <col min="15917" max="15917" width="12.33203125" style="1" customWidth="1"/>
    <col min="15918" max="16142" width="8.83203125" style="1"/>
    <col min="16143" max="16143" width="5.1640625" style="1" customWidth="1"/>
    <col min="16144" max="16144" width="29.33203125" style="1" customWidth="1"/>
    <col min="16145" max="16145" width="20.5" style="1" customWidth="1"/>
    <col min="16146" max="16146" width="16.83203125" style="1" customWidth="1"/>
    <col min="16147" max="16147" width="17.83203125" style="1" customWidth="1"/>
    <col min="16148" max="16148" width="14.83203125" style="1" customWidth="1"/>
    <col min="16149" max="16149" width="16.1640625" style="1" customWidth="1"/>
    <col min="16150" max="16150" width="0.1640625" style="1" customWidth="1"/>
    <col min="16151" max="16151" width="16.5" style="1" customWidth="1"/>
    <col min="16152" max="16152" width="18.83203125" style="1" customWidth="1"/>
    <col min="16153" max="16154" width="0" style="1" hidden="1" customWidth="1"/>
    <col min="16155" max="16155" width="13.83203125" style="1" customWidth="1"/>
    <col min="16156" max="16156" width="13.1640625" style="1" customWidth="1"/>
    <col min="16157" max="16157" width="0" style="1" hidden="1" customWidth="1"/>
    <col min="16158" max="16158" width="18.1640625" style="1" customWidth="1"/>
    <col min="16159" max="16159" width="16.5" style="1" customWidth="1"/>
    <col min="16160" max="16160" width="45.83203125" style="1" customWidth="1"/>
    <col min="16161" max="16161" width="44.1640625" style="1" customWidth="1"/>
    <col min="16162" max="16162" width="17" style="1" customWidth="1"/>
    <col min="16163" max="16163" width="20.1640625" style="1" customWidth="1"/>
    <col min="16164" max="16164" width="15.5" style="1" customWidth="1"/>
    <col min="16165" max="16165" width="19.83203125" style="1" customWidth="1"/>
    <col min="16166" max="16166" width="15.83203125" style="1" customWidth="1"/>
    <col min="16167" max="16169" width="19.33203125" style="1" customWidth="1"/>
    <col min="16170" max="16170" width="22.1640625" style="1" customWidth="1"/>
    <col min="16171" max="16171" width="19.1640625" style="1" customWidth="1"/>
    <col min="16172" max="16172" width="25.1640625" style="1" customWidth="1"/>
    <col min="16173" max="16173" width="12.33203125" style="1" customWidth="1"/>
    <col min="16174" max="16384" width="8.83203125" style="1"/>
  </cols>
  <sheetData>
    <row r="1" spans="1:46" ht="15.75" x14ac:dyDescent="0.25">
      <c r="B1" s="6" t="s">
        <v>11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9"/>
    </row>
    <row r="2" spans="1:46" ht="18.75" x14ac:dyDescent="0.3">
      <c r="B2" s="40"/>
      <c r="C2" s="8" t="s">
        <v>190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0"/>
      <c r="AQ2" s="40"/>
      <c r="AR2" s="40"/>
    </row>
    <row r="3" spans="1:46" ht="13.15" customHeight="1" x14ac:dyDescent="0.25">
      <c r="A3" s="2" t="s">
        <v>7</v>
      </c>
      <c r="B3" s="41"/>
      <c r="C3" s="42"/>
      <c r="D3" s="42"/>
      <c r="E3" s="125">
        <v>1</v>
      </c>
      <c r="F3" s="42"/>
      <c r="G3" s="42"/>
      <c r="H3" s="42"/>
      <c r="I3" s="125">
        <f>E3+1</f>
        <v>2</v>
      </c>
      <c r="J3" s="41"/>
      <c r="K3" s="41"/>
      <c r="L3" s="125">
        <f>I3+1</f>
        <v>3</v>
      </c>
      <c r="M3" s="42"/>
      <c r="N3" s="125">
        <f>L3+1</f>
        <v>4</v>
      </c>
      <c r="O3" s="42"/>
      <c r="P3" s="125">
        <f>N3+1</f>
        <v>5</v>
      </c>
      <c r="Q3" s="42"/>
      <c r="R3" s="125">
        <f>P3+1</f>
        <v>6</v>
      </c>
      <c r="S3" s="42"/>
      <c r="T3" s="125">
        <f>R3+1</f>
        <v>7</v>
      </c>
      <c r="U3" s="42"/>
      <c r="V3" s="125">
        <f>T3+1</f>
        <v>8</v>
      </c>
      <c r="W3" s="42"/>
      <c r="X3" s="125">
        <f>V3+1</f>
        <v>9</v>
      </c>
      <c r="Y3" s="42"/>
      <c r="Z3" s="125">
        <f>X3+1</f>
        <v>10</v>
      </c>
      <c r="AA3" s="42"/>
      <c r="AB3" s="125">
        <f>Z3+1</f>
        <v>11</v>
      </c>
      <c r="AC3" s="42"/>
      <c r="AD3" s="125">
        <f>AB3+1</f>
        <v>12</v>
      </c>
      <c r="AE3" s="125">
        <f>AD3+1</f>
        <v>13</v>
      </c>
      <c r="AF3" s="125">
        <f>AE3+1</f>
        <v>14</v>
      </c>
      <c r="AG3" s="42"/>
      <c r="AH3" s="42"/>
      <c r="AI3" s="125">
        <f>AF3+1</f>
        <v>15</v>
      </c>
      <c r="AJ3" s="42"/>
      <c r="AK3" s="42"/>
      <c r="AL3" s="125">
        <f>AI3+1</f>
        <v>16</v>
      </c>
      <c r="AM3" s="43"/>
      <c r="AN3" s="43"/>
      <c r="AO3" s="125">
        <f>AL3+1</f>
        <v>17</v>
      </c>
    </row>
    <row r="4" spans="1:46" ht="13.15" customHeight="1" x14ac:dyDescent="0.2">
      <c r="A4" s="168" t="s">
        <v>162</v>
      </c>
      <c r="B4" s="168" t="s">
        <v>2</v>
      </c>
      <c r="C4" s="182" t="s">
        <v>189</v>
      </c>
      <c r="D4" s="169" t="s">
        <v>158</v>
      </c>
      <c r="E4" s="182" t="s">
        <v>119</v>
      </c>
      <c r="F4" s="169" t="s">
        <v>120</v>
      </c>
      <c r="G4" s="169" t="s">
        <v>121</v>
      </c>
      <c r="H4" s="169" t="s">
        <v>191</v>
      </c>
      <c r="I4" s="182" t="s">
        <v>122</v>
      </c>
      <c r="J4" s="169" t="s">
        <v>123</v>
      </c>
      <c r="K4" s="169" t="s">
        <v>159</v>
      </c>
      <c r="L4" s="182" t="s">
        <v>124</v>
      </c>
      <c r="M4" s="169" t="s">
        <v>158</v>
      </c>
      <c r="N4" s="182" t="s">
        <v>92</v>
      </c>
      <c r="O4" s="169" t="s">
        <v>158</v>
      </c>
      <c r="P4" s="182" t="s">
        <v>125</v>
      </c>
      <c r="Q4" s="169" t="s">
        <v>158</v>
      </c>
      <c r="R4" s="182" t="s">
        <v>126</v>
      </c>
      <c r="S4" s="169" t="s">
        <v>158</v>
      </c>
      <c r="T4" s="182" t="s">
        <v>59</v>
      </c>
      <c r="U4" s="169" t="s">
        <v>158</v>
      </c>
      <c r="V4" s="182" t="s">
        <v>60</v>
      </c>
      <c r="W4" s="169" t="s">
        <v>158</v>
      </c>
      <c r="X4" s="182" t="s">
        <v>127</v>
      </c>
      <c r="Y4" s="169" t="s">
        <v>158</v>
      </c>
      <c r="Z4" s="182" t="s">
        <v>128</v>
      </c>
      <c r="AA4" s="169" t="s">
        <v>158</v>
      </c>
      <c r="AB4" s="182" t="s">
        <v>129</v>
      </c>
      <c r="AC4" s="169" t="s">
        <v>158</v>
      </c>
      <c r="AD4" s="182" t="s">
        <v>130</v>
      </c>
      <c r="AE4" s="182" t="s">
        <v>131</v>
      </c>
      <c r="AF4" s="182" t="s">
        <v>132</v>
      </c>
      <c r="AG4" s="169" t="s">
        <v>133</v>
      </c>
      <c r="AH4" s="169" t="s">
        <v>160</v>
      </c>
      <c r="AI4" s="182" t="s">
        <v>134</v>
      </c>
      <c r="AJ4" s="169" t="s">
        <v>138</v>
      </c>
      <c r="AK4" s="169" t="s">
        <v>61</v>
      </c>
      <c r="AL4" s="182" t="s">
        <v>135</v>
      </c>
      <c r="AM4" s="169" t="s">
        <v>136</v>
      </c>
      <c r="AN4" s="169" t="s">
        <v>161</v>
      </c>
      <c r="AO4" s="182" t="s">
        <v>137</v>
      </c>
      <c r="AP4" s="182" t="s">
        <v>62</v>
      </c>
      <c r="AQ4" s="182" t="s">
        <v>8</v>
      </c>
      <c r="AR4" s="182" t="s">
        <v>24</v>
      </c>
    </row>
    <row r="5" spans="1:46" ht="13.15" customHeight="1" x14ac:dyDescent="0.2">
      <c r="A5" s="168"/>
      <c r="B5" s="183"/>
      <c r="C5" s="182"/>
      <c r="D5" s="169"/>
      <c r="E5" s="182"/>
      <c r="F5" s="169"/>
      <c r="G5" s="169"/>
      <c r="H5" s="169"/>
      <c r="I5" s="182"/>
      <c r="J5" s="169"/>
      <c r="K5" s="169"/>
      <c r="L5" s="182"/>
      <c r="M5" s="169"/>
      <c r="N5" s="182"/>
      <c r="O5" s="169"/>
      <c r="P5" s="182"/>
      <c r="Q5" s="169"/>
      <c r="R5" s="182"/>
      <c r="S5" s="169"/>
      <c r="T5" s="182"/>
      <c r="U5" s="169"/>
      <c r="V5" s="182"/>
      <c r="W5" s="169"/>
      <c r="X5" s="182"/>
      <c r="Y5" s="169"/>
      <c r="Z5" s="182"/>
      <c r="AA5" s="169"/>
      <c r="AB5" s="182"/>
      <c r="AC5" s="169"/>
      <c r="AD5" s="182"/>
      <c r="AE5" s="182"/>
      <c r="AF5" s="182"/>
      <c r="AG5" s="169"/>
      <c r="AH5" s="169"/>
      <c r="AI5" s="182"/>
      <c r="AJ5" s="169"/>
      <c r="AK5" s="169"/>
      <c r="AL5" s="182"/>
      <c r="AM5" s="169"/>
      <c r="AN5" s="169"/>
      <c r="AO5" s="182"/>
      <c r="AP5" s="182"/>
      <c r="AQ5" s="182"/>
      <c r="AR5" s="182"/>
    </row>
    <row r="6" spans="1:46" ht="152.25" customHeight="1" x14ac:dyDescent="0.2">
      <c r="A6" s="168"/>
      <c r="B6" s="168"/>
      <c r="C6" s="182"/>
      <c r="D6" s="169"/>
      <c r="E6" s="182"/>
      <c r="F6" s="169"/>
      <c r="G6" s="169"/>
      <c r="H6" s="169"/>
      <c r="I6" s="182"/>
      <c r="J6" s="169"/>
      <c r="K6" s="169"/>
      <c r="L6" s="182"/>
      <c r="M6" s="169"/>
      <c r="N6" s="182"/>
      <c r="O6" s="169"/>
      <c r="P6" s="182"/>
      <c r="Q6" s="169"/>
      <c r="R6" s="182"/>
      <c r="S6" s="169"/>
      <c r="T6" s="182"/>
      <c r="U6" s="169"/>
      <c r="V6" s="182"/>
      <c r="W6" s="169"/>
      <c r="X6" s="182"/>
      <c r="Y6" s="169"/>
      <c r="Z6" s="182"/>
      <c r="AA6" s="169"/>
      <c r="AB6" s="182"/>
      <c r="AC6" s="169"/>
      <c r="AD6" s="182"/>
      <c r="AE6" s="182"/>
      <c r="AF6" s="182"/>
      <c r="AG6" s="169"/>
      <c r="AH6" s="169"/>
      <c r="AI6" s="182"/>
      <c r="AJ6" s="169"/>
      <c r="AK6" s="169"/>
      <c r="AL6" s="182"/>
      <c r="AM6" s="169"/>
      <c r="AN6" s="169"/>
      <c r="AO6" s="182"/>
      <c r="AP6" s="182"/>
      <c r="AQ6" s="182"/>
      <c r="AR6" s="182"/>
      <c r="AT6" s="7"/>
    </row>
    <row r="7" spans="1:46" x14ac:dyDescent="0.2">
      <c r="A7" s="185" t="s">
        <v>63</v>
      </c>
      <c r="B7" s="186"/>
      <c r="C7" s="150">
        <v>1</v>
      </c>
      <c r="D7" s="150">
        <v>2</v>
      </c>
      <c r="E7" s="150" t="s">
        <v>139</v>
      </c>
      <c r="F7" s="150" t="s">
        <v>140</v>
      </c>
      <c r="G7" s="147" t="s">
        <v>141</v>
      </c>
      <c r="H7" s="150">
        <v>6</v>
      </c>
      <c r="I7" s="150" t="s">
        <v>163</v>
      </c>
      <c r="J7" s="150">
        <v>8</v>
      </c>
      <c r="K7" s="150">
        <v>9</v>
      </c>
      <c r="L7" s="150" t="s">
        <v>142</v>
      </c>
      <c r="M7" s="150">
        <v>11</v>
      </c>
      <c r="N7" s="150" t="s">
        <v>143</v>
      </c>
      <c r="O7" s="150">
        <v>13</v>
      </c>
      <c r="P7" s="150" t="s">
        <v>144</v>
      </c>
      <c r="Q7" s="150">
        <v>15</v>
      </c>
      <c r="R7" s="150" t="s">
        <v>145</v>
      </c>
      <c r="S7" s="150">
        <v>17</v>
      </c>
      <c r="T7" s="150" t="s">
        <v>146</v>
      </c>
      <c r="U7" s="150">
        <v>19</v>
      </c>
      <c r="V7" s="150" t="s">
        <v>147</v>
      </c>
      <c r="W7" s="150">
        <v>21</v>
      </c>
      <c r="X7" s="150" t="s">
        <v>148</v>
      </c>
      <c r="Y7" s="150">
        <v>23</v>
      </c>
      <c r="Z7" s="150" t="s">
        <v>149</v>
      </c>
      <c r="AA7" s="150">
        <v>25</v>
      </c>
      <c r="AB7" s="150" t="s">
        <v>150</v>
      </c>
      <c r="AC7" s="150">
        <v>27</v>
      </c>
      <c r="AD7" s="150" t="s">
        <v>151</v>
      </c>
      <c r="AE7" s="150">
        <v>29</v>
      </c>
      <c r="AF7" s="150">
        <v>30</v>
      </c>
      <c r="AG7" s="150">
        <v>31</v>
      </c>
      <c r="AH7" s="150">
        <v>32</v>
      </c>
      <c r="AI7" s="150" t="s">
        <v>152</v>
      </c>
      <c r="AJ7" s="150">
        <v>34</v>
      </c>
      <c r="AK7" s="150">
        <v>35</v>
      </c>
      <c r="AL7" s="150" t="s">
        <v>153</v>
      </c>
      <c r="AM7" s="150">
        <v>37</v>
      </c>
      <c r="AN7" s="150">
        <v>38</v>
      </c>
      <c r="AO7" s="150" t="s">
        <v>154</v>
      </c>
      <c r="AP7" s="150" t="s">
        <v>155</v>
      </c>
      <c r="AQ7" s="150" t="s">
        <v>156</v>
      </c>
      <c r="AR7" s="148" t="s">
        <v>157</v>
      </c>
    </row>
    <row r="8" spans="1:46" ht="13.5" x14ac:dyDescent="0.25">
      <c r="A8" s="184"/>
      <c r="B8" s="184"/>
      <c r="C8" s="130" t="s">
        <v>26</v>
      </c>
      <c r="D8" s="132"/>
      <c r="E8" s="133"/>
      <c r="F8" s="132"/>
      <c r="G8" s="132"/>
      <c r="H8" s="132"/>
      <c r="I8" s="133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4"/>
      <c r="AN8" s="150"/>
      <c r="AO8" s="134"/>
      <c r="AP8" s="135"/>
      <c r="AQ8" s="135"/>
      <c r="AR8" s="136" t="s">
        <v>6</v>
      </c>
    </row>
    <row r="9" spans="1:46" s="127" customFormat="1" ht="16.5" x14ac:dyDescent="0.25">
      <c r="A9" s="102">
        <v>1</v>
      </c>
      <c r="B9" s="18" t="s">
        <v>173</v>
      </c>
      <c r="C9" s="157">
        <v>5955</v>
      </c>
      <c r="D9" s="152">
        <f>0.329/12*9+0.329/12*3/100*104.3</f>
        <v>0.33300000000000002</v>
      </c>
      <c r="E9" s="153">
        <f>C9*D9</f>
        <v>1983</v>
      </c>
      <c r="F9" s="154">
        <f>ROUND(C9*5%,0)</f>
        <v>298</v>
      </c>
      <c r="G9" s="154">
        <f>F9*18</f>
        <v>5364</v>
      </c>
      <c r="H9" s="154">
        <v>30412</v>
      </c>
      <c r="I9" s="153">
        <f>G9*H9/1000*1%</f>
        <v>1631.3</v>
      </c>
      <c r="J9" s="158"/>
      <c r="K9" s="158">
        <v>2.58</v>
      </c>
      <c r="L9" s="153">
        <f>J9*K9</f>
        <v>0</v>
      </c>
      <c r="M9" s="152">
        <f>0.001</f>
        <v>1E-3</v>
      </c>
      <c r="N9" s="153">
        <f>C9*M9</f>
        <v>6</v>
      </c>
      <c r="O9" s="152">
        <f>0.047/100*104.3</f>
        <v>4.9000000000000002E-2</v>
      </c>
      <c r="P9" s="153">
        <f>C9*O9</f>
        <v>291.8</v>
      </c>
      <c r="Q9" s="152">
        <v>0.78600000000000003</v>
      </c>
      <c r="R9" s="153">
        <f>C9*Q9</f>
        <v>4680.6000000000004</v>
      </c>
      <c r="S9" s="152">
        <v>4.0000000000000001E-3</v>
      </c>
      <c r="T9" s="153">
        <f>C9*S9</f>
        <v>23.8</v>
      </c>
      <c r="U9" s="152">
        <v>3.0000000000000001E-3</v>
      </c>
      <c r="V9" s="153">
        <f>C9*U9</f>
        <v>17.899999999999999</v>
      </c>
      <c r="W9" s="152">
        <v>1.2E-2</v>
      </c>
      <c r="X9" s="153">
        <f>C9*W9</f>
        <v>71.5</v>
      </c>
      <c r="Y9" s="152">
        <v>1.2E-2</v>
      </c>
      <c r="Z9" s="153">
        <f>C9*Y9</f>
        <v>71.5</v>
      </c>
      <c r="AA9" s="152">
        <f>0.181/100*104.3</f>
        <v>0.189</v>
      </c>
      <c r="AB9" s="153">
        <f>C9*AA9</f>
        <v>1125.5</v>
      </c>
      <c r="AC9" s="152">
        <v>3.0000000000000001E-3</v>
      </c>
      <c r="AD9" s="153">
        <f t="shared" ref="AD9:AD23" si="0">C9*AC9</f>
        <v>17.899999999999999</v>
      </c>
      <c r="AE9" s="153">
        <v>313</v>
      </c>
      <c r="AF9" s="153">
        <v>48</v>
      </c>
      <c r="AG9" s="154"/>
      <c r="AH9" s="152"/>
      <c r="AI9" s="153">
        <f>AG9*AH9</f>
        <v>0</v>
      </c>
      <c r="AJ9" s="154">
        <v>1</v>
      </c>
      <c r="AK9" s="152">
        <v>10.5</v>
      </c>
      <c r="AL9" s="153">
        <f>AJ9*AK9</f>
        <v>10.5</v>
      </c>
      <c r="AM9" s="155">
        <v>4043</v>
      </c>
      <c r="AN9" s="158">
        <v>6.05</v>
      </c>
      <c r="AO9" s="153">
        <f>AM9*AN9*12/1000</f>
        <v>293.5</v>
      </c>
      <c r="AP9" s="159">
        <f>(E9+I9+L9+N9+P9+R9+T9+V9+X9+Z9+AB9+AD9+AE9+AF9+AI9+AL9+AO9)*0.93</f>
        <v>9844.7999999999993</v>
      </c>
      <c r="AQ9" s="137">
        <f t="shared" ref="AQ9:AQ23" si="1">AP9/C9</f>
        <v>1.6532</v>
      </c>
      <c r="AR9" s="138">
        <f>ROUND((AP9/C9)/($AP$24/$C$24),5)</f>
        <v>0.92269999999999996</v>
      </c>
      <c r="AS9" s="126"/>
    </row>
    <row r="10" spans="1:46" s="127" customFormat="1" ht="16.5" x14ac:dyDescent="0.25">
      <c r="A10" s="103">
        <v>2</v>
      </c>
      <c r="B10" s="18" t="s">
        <v>174</v>
      </c>
      <c r="C10" s="157">
        <v>6298</v>
      </c>
      <c r="D10" s="152">
        <f>0.329/12*9+0.329/12*3/100*104.3</f>
        <v>0.33300000000000002</v>
      </c>
      <c r="E10" s="153">
        <f t="shared" ref="E10:E23" si="2">C10*D10</f>
        <v>2097.1999999999998</v>
      </c>
      <c r="F10" s="154">
        <f t="shared" ref="F10:F23" si="3">ROUND(C10*5%,0)</f>
        <v>315</v>
      </c>
      <c r="G10" s="154">
        <f t="shared" ref="G10:G23" si="4">F10*18</f>
        <v>5670</v>
      </c>
      <c r="H10" s="154">
        <v>30412</v>
      </c>
      <c r="I10" s="153">
        <f t="shared" ref="I10:I23" si="5">G10*H10/1000*1%</f>
        <v>1724.4</v>
      </c>
      <c r="J10" s="158"/>
      <c r="K10" s="158">
        <v>2.58</v>
      </c>
      <c r="L10" s="153">
        <f t="shared" ref="L10:L23" si="6">J10*K10</f>
        <v>0</v>
      </c>
      <c r="M10" s="152">
        <v>1E-3</v>
      </c>
      <c r="N10" s="153">
        <f t="shared" ref="N10:N23" si="7">C10*M10</f>
        <v>6.3</v>
      </c>
      <c r="O10" s="152">
        <f t="shared" ref="O10:O23" si="8">0.047/100*104.3</f>
        <v>4.9000000000000002E-2</v>
      </c>
      <c r="P10" s="153">
        <f t="shared" ref="P10:P23" si="9">C10*O10</f>
        <v>308.60000000000002</v>
      </c>
      <c r="Q10" s="152">
        <v>0.78600000000000003</v>
      </c>
      <c r="R10" s="153">
        <f t="shared" ref="R10:R23" si="10">C10*Q10</f>
        <v>4950.2</v>
      </c>
      <c r="S10" s="152">
        <v>4.0000000000000001E-3</v>
      </c>
      <c r="T10" s="153">
        <f t="shared" ref="T10:T23" si="11">C10*S10</f>
        <v>25.2</v>
      </c>
      <c r="U10" s="152">
        <v>3.0000000000000001E-3</v>
      </c>
      <c r="V10" s="153">
        <f t="shared" ref="V10:V23" si="12">C10*U10</f>
        <v>18.899999999999999</v>
      </c>
      <c r="W10" s="152">
        <v>1.2E-2</v>
      </c>
      <c r="X10" s="153">
        <f t="shared" ref="X10:X23" si="13">C10*W10</f>
        <v>75.599999999999994</v>
      </c>
      <c r="Y10" s="152">
        <v>1.2E-2</v>
      </c>
      <c r="Z10" s="153">
        <f t="shared" ref="Z10:Z23" si="14">C10*Y10</f>
        <v>75.599999999999994</v>
      </c>
      <c r="AA10" s="152">
        <f t="shared" ref="AA10:AA23" si="15">0.181/100*104.3</f>
        <v>0.189</v>
      </c>
      <c r="AB10" s="153">
        <f t="shared" ref="AB10:AB23" si="16">C10*AA10</f>
        <v>1190.3</v>
      </c>
      <c r="AC10" s="152">
        <v>3.0000000000000001E-3</v>
      </c>
      <c r="AD10" s="153">
        <f t="shared" si="0"/>
        <v>18.899999999999999</v>
      </c>
      <c r="AE10" s="153">
        <v>224</v>
      </c>
      <c r="AF10" s="153">
        <v>262</v>
      </c>
      <c r="AG10" s="154"/>
      <c r="AH10" s="152"/>
      <c r="AI10" s="153">
        <f t="shared" ref="AI10:AI23" si="17">AG10*AH10</f>
        <v>0</v>
      </c>
      <c r="AJ10" s="154">
        <v>1</v>
      </c>
      <c r="AK10" s="152">
        <v>10.5</v>
      </c>
      <c r="AL10" s="153">
        <f t="shared" ref="AL10:AL23" si="18">AJ10*AK10</f>
        <v>10.5</v>
      </c>
      <c r="AM10" s="155">
        <v>3765.4</v>
      </c>
      <c r="AN10" s="158">
        <v>6.05</v>
      </c>
      <c r="AO10" s="153">
        <f t="shared" ref="AO10:AO23" si="19">AM10*AN10*12/1000</f>
        <v>273.39999999999998</v>
      </c>
      <c r="AP10" s="159">
        <f>(E10+I10+L10+N10+P10+R10+T10+V10+X10+Z10+AB10+AD10+AE10+AF10+AI10+AL10+AO10)*0.97</f>
        <v>10923.3</v>
      </c>
      <c r="AQ10" s="137">
        <f t="shared" si="1"/>
        <v>1.7343999999999999</v>
      </c>
      <c r="AR10" s="138">
        <f t="shared" ref="AR10:AR23" si="20">ROUND((AP10/C10)/($AP$24/$C$24),5)</f>
        <v>0.96801999999999999</v>
      </c>
      <c r="AS10" s="126"/>
    </row>
    <row r="11" spans="1:46" s="127" customFormat="1" ht="16.5" x14ac:dyDescent="0.25">
      <c r="A11" s="103">
        <v>3</v>
      </c>
      <c r="B11" s="18" t="s">
        <v>175</v>
      </c>
      <c r="C11" s="157">
        <v>668</v>
      </c>
      <c r="D11" s="152">
        <f>0.661/12*9+0.661/12*3/100*104.3</f>
        <v>0.66800000000000004</v>
      </c>
      <c r="E11" s="153">
        <f t="shared" si="2"/>
        <v>446.2</v>
      </c>
      <c r="F11" s="154">
        <f t="shared" si="3"/>
        <v>33</v>
      </c>
      <c r="G11" s="154">
        <f t="shared" si="4"/>
        <v>594</v>
      </c>
      <c r="H11" s="154">
        <v>30412</v>
      </c>
      <c r="I11" s="153">
        <f t="shared" si="5"/>
        <v>180.6</v>
      </c>
      <c r="J11" s="158"/>
      <c r="K11" s="158">
        <v>2.58</v>
      </c>
      <c r="L11" s="153">
        <f t="shared" si="6"/>
        <v>0</v>
      </c>
      <c r="M11" s="152">
        <v>1E-3</v>
      </c>
      <c r="N11" s="153">
        <f t="shared" si="7"/>
        <v>0.7</v>
      </c>
      <c r="O11" s="152">
        <f t="shared" si="8"/>
        <v>4.9000000000000002E-2</v>
      </c>
      <c r="P11" s="153">
        <f t="shared" si="9"/>
        <v>32.700000000000003</v>
      </c>
      <c r="Q11" s="152">
        <v>0.78600000000000003</v>
      </c>
      <c r="R11" s="153">
        <f t="shared" si="10"/>
        <v>525</v>
      </c>
      <c r="S11" s="152">
        <v>4.0000000000000001E-3</v>
      </c>
      <c r="T11" s="153">
        <f t="shared" si="11"/>
        <v>2.7</v>
      </c>
      <c r="U11" s="152">
        <v>3.0000000000000001E-3</v>
      </c>
      <c r="V11" s="153">
        <f t="shared" si="12"/>
        <v>2</v>
      </c>
      <c r="W11" s="152">
        <v>1.2E-2</v>
      </c>
      <c r="X11" s="153">
        <f t="shared" si="13"/>
        <v>8</v>
      </c>
      <c r="Y11" s="152">
        <v>1.2E-2</v>
      </c>
      <c r="Z11" s="153">
        <f t="shared" si="14"/>
        <v>8</v>
      </c>
      <c r="AA11" s="152">
        <f t="shared" si="15"/>
        <v>0.189</v>
      </c>
      <c r="AB11" s="153">
        <f t="shared" si="16"/>
        <v>126.3</v>
      </c>
      <c r="AC11" s="152">
        <v>3.0000000000000001E-3</v>
      </c>
      <c r="AD11" s="153">
        <f t="shared" si="0"/>
        <v>2</v>
      </c>
      <c r="AE11" s="153">
        <v>166</v>
      </c>
      <c r="AF11" s="153">
        <v>10</v>
      </c>
      <c r="AG11" s="154"/>
      <c r="AH11" s="152"/>
      <c r="AI11" s="153">
        <f t="shared" si="17"/>
        <v>0</v>
      </c>
      <c r="AJ11" s="154">
        <v>2</v>
      </c>
      <c r="AK11" s="152">
        <v>10.5</v>
      </c>
      <c r="AL11" s="153">
        <f t="shared" si="18"/>
        <v>21</v>
      </c>
      <c r="AM11" s="155">
        <v>0</v>
      </c>
      <c r="AN11" s="158">
        <v>6.05</v>
      </c>
      <c r="AO11" s="153">
        <f t="shared" si="19"/>
        <v>0</v>
      </c>
      <c r="AP11" s="159">
        <f>(E11+I11+L11+N11+P11+R11+T11+V11+X11+Z11+AB11+AD11+AE11+AF11+AI11+AL11+AO11)*1.3</f>
        <v>1990.6</v>
      </c>
      <c r="AQ11" s="137">
        <f t="shared" si="1"/>
        <v>2.9799000000000002</v>
      </c>
      <c r="AR11" s="138">
        <f t="shared" si="20"/>
        <v>1.6631899999999999</v>
      </c>
      <c r="AS11" s="126"/>
    </row>
    <row r="12" spans="1:46" s="127" customFormat="1" ht="16.5" x14ac:dyDescent="0.25">
      <c r="A12" s="104">
        <v>4</v>
      </c>
      <c r="B12" s="18" t="s">
        <v>176</v>
      </c>
      <c r="C12" s="157">
        <v>1604</v>
      </c>
      <c r="D12" s="152">
        <f>0.631/12*9+0.631/12*3/100*104.3</f>
        <v>0.63800000000000001</v>
      </c>
      <c r="E12" s="153">
        <f t="shared" si="2"/>
        <v>1023.4</v>
      </c>
      <c r="F12" s="154">
        <f t="shared" si="3"/>
        <v>80</v>
      </c>
      <c r="G12" s="154">
        <f t="shared" si="4"/>
        <v>1440</v>
      </c>
      <c r="H12" s="154">
        <v>30412</v>
      </c>
      <c r="I12" s="153">
        <f t="shared" si="5"/>
        <v>437.9</v>
      </c>
      <c r="J12" s="158"/>
      <c r="K12" s="158">
        <v>2.58</v>
      </c>
      <c r="L12" s="153">
        <f t="shared" si="6"/>
        <v>0</v>
      </c>
      <c r="M12" s="152">
        <v>1E-3</v>
      </c>
      <c r="N12" s="153">
        <f t="shared" si="7"/>
        <v>1.6</v>
      </c>
      <c r="O12" s="152">
        <f t="shared" si="8"/>
        <v>4.9000000000000002E-2</v>
      </c>
      <c r="P12" s="153">
        <f t="shared" si="9"/>
        <v>78.599999999999994</v>
      </c>
      <c r="Q12" s="152">
        <v>0.78600000000000003</v>
      </c>
      <c r="R12" s="153">
        <f>C12*Q12</f>
        <v>1260.7</v>
      </c>
      <c r="S12" s="152">
        <v>4.0000000000000001E-3</v>
      </c>
      <c r="T12" s="153">
        <f t="shared" si="11"/>
        <v>6.4</v>
      </c>
      <c r="U12" s="152">
        <v>3.0000000000000001E-3</v>
      </c>
      <c r="V12" s="153">
        <f t="shared" si="12"/>
        <v>4.8</v>
      </c>
      <c r="W12" s="152">
        <v>1.2E-2</v>
      </c>
      <c r="X12" s="153">
        <f t="shared" si="13"/>
        <v>19.2</v>
      </c>
      <c r="Y12" s="152">
        <v>1.2E-2</v>
      </c>
      <c r="Z12" s="153">
        <f t="shared" si="14"/>
        <v>19.2</v>
      </c>
      <c r="AA12" s="152">
        <f t="shared" si="15"/>
        <v>0.189</v>
      </c>
      <c r="AB12" s="153">
        <f t="shared" si="16"/>
        <v>303.2</v>
      </c>
      <c r="AC12" s="152">
        <v>3.0000000000000001E-3</v>
      </c>
      <c r="AD12" s="153">
        <f t="shared" si="0"/>
        <v>4.8</v>
      </c>
      <c r="AE12" s="153">
        <v>57.7</v>
      </c>
      <c r="AF12" s="153">
        <v>18</v>
      </c>
      <c r="AG12" s="154"/>
      <c r="AH12" s="152"/>
      <c r="AI12" s="153">
        <f t="shared" si="17"/>
        <v>0</v>
      </c>
      <c r="AJ12" s="154">
        <v>2</v>
      </c>
      <c r="AK12" s="152">
        <v>10.5</v>
      </c>
      <c r="AL12" s="153">
        <f t="shared" si="18"/>
        <v>21</v>
      </c>
      <c r="AM12" s="155">
        <v>543.29999999999995</v>
      </c>
      <c r="AN12" s="158">
        <v>6.05</v>
      </c>
      <c r="AO12" s="153">
        <f t="shared" si="19"/>
        <v>39.4</v>
      </c>
      <c r="AP12" s="159">
        <f t="shared" ref="AP12:AP22" si="21">E12+I12+L12+N12+P12+R12+T12+V12+X12+Z12+AB12+AD12+AE12+AF12+AI12+AL12+AO12</f>
        <v>3295.9</v>
      </c>
      <c r="AQ12" s="137">
        <f t="shared" si="1"/>
        <v>2.0548000000000002</v>
      </c>
      <c r="AR12" s="138">
        <f t="shared" si="20"/>
        <v>1.1468400000000001</v>
      </c>
      <c r="AS12" s="126"/>
    </row>
    <row r="13" spans="1:46" s="127" customFormat="1" ht="16.5" x14ac:dyDescent="0.25">
      <c r="A13" s="105">
        <v>5</v>
      </c>
      <c r="B13" s="18" t="s">
        <v>177</v>
      </c>
      <c r="C13" s="157">
        <v>3978</v>
      </c>
      <c r="D13" s="152">
        <f>0.438/12*9+0.438/12*3/100*104.3</f>
        <v>0.443</v>
      </c>
      <c r="E13" s="153">
        <f t="shared" si="2"/>
        <v>1762.3</v>
      </c>
      <c r="F13" s="154">
        <f t="shared" si="3"/>
        <v>199</v>
      </c>
      <c r="G13" s="154">
        <f t="shared" si="4"/>
        <v>3582</v>
      </c>
      <c r="H13" s="154">
        <v>30412</v>
      </c>
      <c r="I13" s="153">
        <f t="shared" si="5"/>
        <v>1089.4000000000001</v>
      </c>
      <c r="J13" s="158"/>
      <c r="K13" s="158">
        <v>2.58</v>
      </c>
      <c r="L13" s="153">
        <f t="shared" si="6"/>
        <v>0</v>
      </c>
      <c r="M13" s="152">
        <v>1E-3</v>
      </c>
      <c r="N13" s="153">
        <f t="shared" si="7"/>
        <v>4</v>
      </c>
      <c r="O13" s="152">
        <f t="shared" si="8"/>
        <v>4.9000000000000002E-2</v>
      </c>
      <c r="P13" s="153">
        <f t="shared" si="9"/>
        <v>194.9</v>
      </c>
      <c r="Q13" s="152">
        <v>0.78600000000000003</v>
      </c>
      <c r="R13" s="153">
        <f t="shared" si="10"/>
        <v>3126.7</v>
      </c>
      <c r="S13" s="152">
        <v>4.0000000000000001E-3</v>
      </c>
      <c r="T13" s="153">
        <f t="shared" si="11"/>
        <v>15.9</v>
      </c>
      <c r="U13" s="152">
        <v>3.0000000000000001E-3</v>
      </c>
      <c r="V13" s="153">
        <f t="shared" si="12"/>
        <v>11.9</v>
      </c>
      <c r="W13" s="152">
        <v>1.2E-2</v>
      </c>
      <c r="X13" s="153">
        <f t="shared" si="13"/>
        <v>47.7</v>
      </c>
      <c r="Y13" s="152">
        <v>1.2E-2</v>
      </c>
      <c r="Z13" s="153">
        <f t="shared" si="14"/>
        <v>47.7</v>
      </c>
      <c r="AA13" s="152">
        <f t="shared" si="15"/>
        <v>0.189</v>
      </c>
      <c r="AB13" s="153">
        <f t="shared" si="16"/>
        <v>751.8</v>
      </c>
      <c r="AC13" s="152">
        <v>3.0000000000000001E-3</v>
      </c>
      <c r="AD13" s="153">
        <f t="shared" si="0"/>
        <v>11.9</v>
      </c>
      <c r="AE13" s="153">
        <v>48</v>
      </c>
      <c r="AF13" s="153">
        <v>71.7</v>
      </c>
      <c r="AG13" s="154"/>
      <c r="AH13" s="152"/>
      <c r="AI13" s="153">
        <f t="shared" si="17"/>
        <v>0</v>
      </c>
      <c r="AJ13" s="154">
        <v>3</v>
      </c>
      <c r="AK13" s="152">
        <v>10.5</v>
      </c>
      <c r="AL13" s="153">
        <f t="shared" si="18"/>
        <v>31.5</v>
      </c>
      <c r="AM13" s="155">
        <v>1969.2</v>
      </c>
      <c r="AN13" s="158">
        <v>6.05</v>
      </c>
      <c r="AO13" s="153">
        <f t="shared" si="19"/>
        <v>143</v>
      </c>
      <c r="AP13" s="159">
        <f>(E13+I13+L13+N13+P13+R13+T13+V13+X13+Z13+AB13+AD13+AE13+AF13+AI13+AL13+AO13)*0.7</f>
        <v>5150.8999999999996</v>
      </c>
      <c r="AQ13" s="137">
        <f t="shared" si="1"/>
        <v>1.2948</v>
      </c>
      <c r="AR13" s="138">
        <f t="shared" si="20"/>
        <v>0.72269000000000005</v>
      </c>
      <c r="AS13" s="126"/>
    </row>
    <row r="14" spans="1:46" s="164" customFormat="1" ht="16.5" x14ac:dyDescent="0.25">
      <c r="A14" s="105">
        <v>6</v>
      </c>
      <c r="B14" s="160" t="s">
        <v>178</v>
      </c>
      <c r="C14" s="157">
        <v>3935</v>
      </c>
      <c r="D14" s="152">
        <f>0.438/12*9+0.438/12*3/100*104.3</f>
        <v>0.443</v>
      </c>
      <c r="E14" s="153">
        <f t="shared" si="2"/>
        <v>1743.2</v>
      </c>
      <c r="F14" s="154">
        <f t="shared" si="3"/>
        <v>197</v>
      </c>
      <c r="G14" s="154">
        <f t="shared" si="4"/>
        <v>3546</v>
      </c>
      <c r="H14" s="154">
        <v>30412</v>
      </c>
      <c r="I14" s="153">
        <f t="shared" si="5"/>
        <v>1078.4000000000001</v>
      </c>
      <c r="J14" s="158"/>
      <c r="K14" s="158">
        <v>2.58</v>
      </c>
      <c r="L14" s="153">
        <f t="shared" si="6"/>
        <v>0</v>
      </c>
      <c r="M14" s="152">
        <v>1E-3</v>
      </c>
      <c r="N14" s="153">
        <f t="shared" si="7"/>
        <v>3.9</v>
      </c>
      <c r="O14" s="152">
        <f t="shared" si="8"/>
        <v>4.9000000000000002E-2</v>
      </c>
      <c r="P14" s="153">
        <f t="shared" si="9"/>
        <v>192.8</v>
      </c>
      <c r="Q14" s="152">
        <v>0.78600000000000003</v>
      </c>
      <c r="R14" s="153">
        <f t="shared" si="10"/>
        <v>3092.9</v>
      </c>
      <c r="S14" s="152">
        <v>4.0000000000000001E-3</v>
      </c>
      <c r="T14" s="153">
        <f t="shared" si="11"/>
        <v>15.7</v>
      </c>
      <c r="U14" s="152">
        <v>3.0000000000000001E-3</v>
      </c>
      <c r="V14" s="153">
        <f t="shared" si="12"/>
        <v>11.8</v>
      </c>
      <c r="W14" s="152">
        <v>1.2E-2</v>
      </c>
      <c r="X14" s="153">
        <f t="shared" si="13"/>
        <v>47.2</v>
      </c>
      <c r="Y14" s="152">
        <v>1.2E-2</v>
      </c>
      <c r="Z14" s="153">
        <f t="shared" si="14"/>
        <v>47.2</v>
      </c>
      <c r="AA14" s="152">
        <f t="shared" si="15"/>
        <v>0.189</v>
      </c>
      <c r="AB14" s="153">
        <f t="shared" si="16"/>
        <v>743.7</v>
      </c>
      <c r="AC14" s="152">
        <v>3.0000000000000001E-3</v>
      </c>
      <c r="AD14" s="153">
        <f t="shared" si="0"/>
        <v>11.8</v>
      </c>
      <c r="AE14" s="153">
        <v>109.4</v>
      </c>
      <c r="AF14" s="153">
        <v>60.3</v>
      </c>
      <c r="AG14" s="154"/>
      <c r="AH14" s="152"/>
      <c r="AI14" s="153">
        <f t="shared" si="17"/>
        <v>0</v>
      </c>
      <c r="AJ14" s="154">
        <v>0</v>
      </c>
      <c r="AK14" s="152">
        <v>10.5</v>
      </c>
      <c r="AL14" s="153">
        <f t="shared" si="18"/>
        <v>0</v>
      </c>
      <c r="AM14" s="155">
        <v>0</v>
      </c>
      <c r="AN14" s="158">
        <v>6.05</v>
      </c>
      <c r="AO14" s="153">
        <f t="shared" si="19"/>
        <v>0</v>
      </c>
      <c r="AP14" s="159">
        <f>(E14+I14+L14+N14+P14+R14+T14+V14+X14+Z14+AB14+AD14+AE14+AF14+AI14+AL14+AO14)*0.95</f>
        <v>6800.4</v>
      </c>
      <c r="AQ14" s="161">
        <f t="shared" si="1"/>
        <v>1.7282</v>
      </c>
      <c r="AR14" s="162">
        <f t="shared" si="20"/>
        <v>0.96455000000000002</v>
      </c>
      <c r="AS14" s="163"/>
    </row>
    <row r="15" spans="1:46" s="127" customFormat="1" ht="16.5" x14ac:dyDescent="0.25">
      <c r="A15" s="104">
        <v>7</v>
      </c>
      <c r="B15" s="18" t="s">
        <v>179</v>
      </c>
      <c r="C15" s="157">
        <v>3889</v>
      </c>
      <c r="D15" s="152">
        <f>0.438/12*9+0.438/12*3/100*104.3</f>
        <v>0.443</v>
      </c>
      <c r="E15" s="153">
        <f t="shared" si="2"/>
        <v>1722.8</v>
      </c>
      <c r="F15" s="154">
        <f t="shared" si="3"/>
        <v>194</v>
      </c>
      <c r="G15" s="154">
        <f t="shared" si="4"/>
        <v>3492</v>
      </c>
      <c r="H15" s="154">
        <v>30412</v>
      </c>
      <c r="I15" s="153">
        <f t="shared" si="5"/>
        <v>1062</v>
      </c>
      <c r="J15" s="158"/>
      <c r="K15" s="158">
        <v>2.58</v>
      </c>
      <c r="L15" s="153">
        <f t="shared" si="6"/>
        <v>0</v>
      </c>
      <c r="M15" s="152">
        <v>1E-3</v>
      </c>
      <c r="N15" s="153">
        <f t="shared" si="7"/>
        <v>3.9</v>
      </c>
      <c r="O15" s="152">
        <f t="shared" si="8"/>
        <v>4.9000000000000002E-2</v>
      </c>
      <c r="P15" s="153">
        <f t="shared" si="9"/>
        <v>190.6</v>
      </c>
      <c r="Q15" s="152">
        <v>0.78600000000000003</v>
      </c>
      <c r="R15" s="153">
        <f t="shared" si="10"/>
        <v>3056.8</v>
      </c>
      <c r="S15" s="152">
        <v>4.0000000000000001E-3</v>
      </c>
      <c r="T15" s="153">
        <f t="shared" si="11"/>
        <v>15.6</v>
      </c>
      <c r="U15" s="152">
        <v>3.0000000000000001E-3</v>
      </c>
      <c r="V15" s="153">
        <f t="shared" si="12"/>
        <v>11.7</v>
      </c>
      <c r="W15" s="152">
        <v>1.2E-2</v>
      </c>
      <c r="X15" s="153">
        <f t="shared" si="13"/>
        <v>46.7</v>
      </c>
      <c r="Y15" s="152">
        <v>1.2E-2</v>
      </c>
      <c r="Z15" s="153">
        <f t="shared" si="14"/>
        <v>46.7</v>
      </c>
      <c r="AA15" s="152">
        <f t="shared" si="15"/>
        <v>0.189</v>
      </c>
      <c r="AB15" s="153">
        <f t="shared" si="16"/>
        <v>735</v>
      </c>
      <c r="AC15" s="152">
        <v>3.0000000000000001E-3</v>
      </c>
      <c r="AD15" s="153">
        <f t="shared" si="0"/>
        <v>11.7</v>
      </c>
      <c r="AE15" s="153">
        <v>57.7</v>
      </c>
      <c r="AF15" s="153">
        <v>137</v>
      </c>
      <c r="AG15" s="154"/>
      <c r="AH15" s="152"/>
      <c r="AI15" s="153">
        <f t="shared" si="17"/>
        <v>0</v>
      </c>
      <c r="AJ15" s="154">
        <v>0</v>
      </c>
      <c r="AK15" s="152">
        <v>10.5</v>
      </c>
      <c r="AL15" s="153">
        <f t="shared" si="18"/>
        <v>0</v>
      </c>
      <c r="AM15" s="155">
        <v>2000.4</v>
      </c>
      <c r="AN15" s="158">
        <v>6.05</v>
      </c>
      <c r="AO15" s="153">
        <f t="shared" si="19"/>
        <v>145.19999999999999</v>
      </c>
      <c r="AP15" s="159">
        <f>(E15+I15+L15+N15+P15+R15+T15+V15+X15+Z15+AB15+AD15+AE15+AF15+AI15+AL15+AO15)*0.87</f>
        <v>6301.8</v>
      </c>
      <c r="AQ15" s="137">
        <f t="shared" si="1"/>
        <v>1.6204000000000001</v>
      </c>
      <c r="AR15" s="138">
        <f t="shared" si="20"/>
        <v>0.90439999999999998</v>
      </c>
      <c r="AS15" s="126"/>
    </row>
    <row r="16" spans="1:46" s="127" customFormat="1" ht="16.5" x14ac:dyDescent="0.25">
      <c r="A16" s="105">
        <v>8</v>
      </c>
      <c r="B16" s="18" t="s">
        <v>180</v>
      </c>
      <c r="C16" s="157">
        <v>1699</v>
      </c>
      <c r="D16" s="152">
        <f>0.631/12*9+0.631/12*3/100*104.3</f>
        <v>0.63800000000000001</v>
      </c>
      <c r="E16" s="153">
        <f t="shared" si="2"/>
        <v>1084</v>
      </c>
      <c r="F16" s="154">
        <f t="shared" si="3"/>
        <v>85</v>
      </c>
      <c r="G16" s="154">
        <f t="shared" si="4"/>
        <v>1530</v>
      </c>
      <c r="H16" s="154">
        <v>30412</v>
      </c>
      <c r="I16" s="153">
        <f t="shared" si="5"/>
        <v>465.3</v>
      </c>
      <c r="J16" s="158"/>
      <c r="K16" s="158">
        <v>2.58</v>
      </c>
      <c r="L16" s="153">
        <f t="shared" si="6"/>
        <v>0</v>
      </c>
      <c r="M16" s="152">
        <v>1E-3</v>
      </c>
      <c r="N16" s="153">
        <f t="shared" si="7"/>
        <v>1.7</v>
      </c>
      <c r="O16" s="152">
        <f t="shared" si="8"/>
        <v>4.9000000000000002E-2</v>
      </c>
      <c r="P16" s="153">
        <f t="shared" si="9"/>
        <v>83.3</v>
      </c>
      <c r="Q16" s="152">
        <v>0.78600000000000003</v>
      </c>
      <c r="R16" s="153">
        <f t="shared" si="10"/>
        <v>1335.4</v>
      </c>
      <c r="S16" s="152">
        <v>4.0000000000000001E-3</v>
      </c>
      <c r="T16" s="153">
        <f t="shared" si="11"/>
        <v>6.8</v>
      </c>
      <c r="U16" s="152">
        <v>3.0000000000000001E-3</v>
      </c>
      <c r="V16" s="153">
        <f t="shared" si="12"/>
        <v>5.0999999999999996</v>
      </c>
      <c r="W16" s="152">
        <v>1.2E-2</v>
      </c>
      <c r="X16" s="153">
        <f t="shared" si="13"/>
        <v>20.399999999999999</v>
      </c>
      <c r="Y16" s="152">
        <v>1.2E-2</v>
      </c>
      <c r="Z16" s="153">
        <f t="shared" si="14"/>
        <v>20.399999999999999</v>
      </c>
      <c r="AA16" s="152">
        <f t="shared" si="15"/>
        <v>0.189</v>
      </c>
      <c r="AB16" s="153">
        <f t="shared" si="16"/>
        <v>321.10000000000002</v>
      </c>
      <c r="AC16" s="152">
        <v>3.0000000000000001E-3</v>
      </c>
      <c r="AD16" s="153">
        <f t="shared" si="0"/>
        <v>5.0999999999999996</v>
      </c>
      <c r="AE16" s="153">
        <v>144</v>
      </c>
      <c r="AF16" s="153">
        <v>63.6</v>
      </c>
      <c r="AG16" s="154"/>
      <c r="AH16" s="152"/>
      <c r="AI16" s="153">
        <f t="shared" si="17"/>
        <v>0</v>
      </c>
      <c r="AJ16" s="154">
        <v>8</v>
      </c>
      <c r="AK16" s="152">
        <v>10.5</v>
      </c>
      <c r="AL16" s="153">
        <f t="shared" si="18"/>
        <v>84</v>
      </c>
      <c r="AM16" s="155">
        <v>3252.6</v>
      </c>
      <c r="AN16" s="158">
        <v>6.05</v>
      </c>
      <c r="AO16" s="153">
        <f t="shared" si="19"/>
        <v>236.1</v>
      </c>
      <c r="AP16" s="159">
        <f>(E16+I16+L16+N16+P16+R16+T16+V16+X16+Z16+AB16+AD16+AE16+AF16+AI16+AL16+AO16)*1.25</f>
        <v>4845.3999999999996</v>
      </c>
      <c r="AQ16" s="137">
        <f t="shared" si="1"/>
        <v>2.8519000000000001</v>
      </c>
      <c r="AR16" s="138">
        <f t="shared" si="20"/>
        <v>1.5917300000000001</v>
      </c>
      <c r="AS16" s="126"/>
    </row>
    <row r="17" spans="1:45" s="127" customFormat="1" ht="16.5" x14ac:dyDescent="0.25">
      <c r="A17" s="105">
        <v>9</v>
      </c>
      <c r="B17" s="18" t="s">
        <v>181</v>
      </c>
      <c r="C17" s="157">
        <v>2758</v>
      </c>
      <c r="D17" s="152">
        <f>0.631/12*9+0.631/12*3/100*104.3</f>
        <v>0.63800000000000001</v>
      </c>
      <c r="E17" s="153">
        <f t="shared" si="2"/>
        <v>1759.6</v>
      </c>
      <c r="F17" s="154">
        <f t="shared" si="3"/>
        <v>138</v>
      </c>
      <c r="G17" s="154">
        <f t="shared" si="4"/>
        <v>2484</v>
      </c>
      <c r="H17" s="154">
        <v>30412</v>
      </c>
      <c r="I17" s="153">
        <f t="shared" si="5"/>
        <v>755.4</v>
      </c>
      <c r="J17" s="158"/>
      <c r="K17" s="158">
        <v>2.58</v>
      </c>
      <c r="L17" s="153">
        <f t="shared" si="6"/>
        <v>0</v>
      </c>
      <c r="M17" s="152">
        <v>1E-3</v>
      </c>
      <c r="N17" s="153">
        <f t="shared" si="7"/>
        <v>2.8</v>
      </c>
      <c r="O17" s="152">
        <f t="shared" si="8"/>
        <v>4.9000000000000002E-2</v>
      </c>
      <c r="P17" s="153">
        <f t="shared" si="9"/>
        <v>135.1</v>
      </c>
      <c r="Q17" s="152">
        <v>0.78600000000000003</v>
      </c>
      <c r="R17" s="153">
        <f t="shared" si="10"/>
        <v>2167.8000000000002</v>
      </c>
      <c r="S17" s="152">
        <v>4.0000000000000001E-3</v>
      </c>
      <c r="T17" s="153">
        <f t="shared" si="11"/>
        <v>11</v>
      </c>
      <c r="U17" s="152">
        <v>3.0000000000000001E-3</v>
      </c>
      <c r="V17" s="153">
        <f t="shared" si="12"/>
        <v>8.3000000000000007</v>
      </c>
      <c r="W17" s="152">
        <v>1.2E-2</v>
      </c>
      <c r="X17" s="153">
        <f t="shared" si="13"/>
        <v>33.1</v>
      </c>
      <c r="Y17" s="152">
        <v>1.2E-2</v>
      </c>
      <c r="Z17" s="153">
        <f t="shared" si="14"/>
        <v>33.1</v>
      </c>
      <c r="AA17" s="152">
        <f t="shared" si="15"/>
        <v>0.189</v>
      </c>
      <c r="AB17" s="153">
        <f t="shared" si="16"/>
        <v>521.29999999999995</v>
      </c>
      <c r="AC17" s="152">
        <v>3.0000000000000001E-3</v>
      </c>
      <c r="AD17" s="153">
        <f t="shared" si="0"/>
        <v>8.3000000000000007</v>
      </c>
      <c r="AE17" s="153">
        <v>61.5</v>
      </c>
      <c r="AF17" s="153">
        <v>184</v>
      </c>
      <c r="AG17" s="154"/>
      <c r="AH17" s="152"/>
      <c r="AI17" s="153">
        <f t="shared" si="17"/>
        <v>0</v>
      </c>
      <c r="AJ17" s="154">
        <v>0</v>
      </c>
      <c r="AK17" s="152">
        <v>10.5</v>
      </c>
      <c r="AL17" s="153">
        <f t="shared" si="18"/>
        <v>0</v>
      </c>
      <c r="AM17" s="155">
        <v>135.80000000000001</v>
      </c>
      <c r="AN17" s="158">
        <v>6.05</v>
      </c>
      <c r="AO17" s="153">
        <f t="shared" si="19"/>
        <v>9.9</v>
      </c>
      <c r="AP17" s="159">
        <f t="shared" si="21"/>
        <v>5691.2</v>
      </c>
      <c r="AQ17" s="137">
        <f t="shared" si="1"/>
        <v>2.0634999999999999</v>
      </c>
      <c r="AR17" s="138">
        <f t="shared" si="20"/>
        <v>1.15171</v>
      </c>
      <c r="AS17" s="126"/>
    </row>
    <row r="18" spans="1:45" s="127" customFormat="1" ht="16.5" x14ac:dyDescent="0.25">
      <c r="A18" s="104">
        <v>10</v>
      </c>
      <c r="B18" s="18" t="s">
        <v>182</v>
      </c>
      <c r="C18" s="157">
        <v>880</v>
      </c>
      <c r="D18" s="152">
        <f>0.661/12*9+0.661/12*3/100*104.3</f>
        <v>0.66800000000000004</v>
      </c>
      <c r="E18" s="153">
        <f t="shared" si="2"/>
        <v>587.79999999999995</v>
      </c>
      <c r="F18" s="154">
        <f t="shared" si="3"/>
        <v>44</v>
      </c>
      <c r="G18" s="154">
        <f t="shared" si="4"/>
        <v>792</v>
      </c>
      <c r="H18" s="154">
        <v>30412</v>
      </c>
      <c r="I18" s="153">
        <f t="shared" si="5"/>
        <v>240.9</v>
      </c>
      <c r="J18" s="158"/>
      <c r="K18" s="158">
        <v>2.58</v>
      </c>
      <c r="L18" s="153">
        <f t="shared" si="6"/>
        <v>0</v>
      </c>
      <c r="M18" s="152">
        <v>1E-3</v>
      </c>
      <c r="N18" s="153">
        <f t="shared" si="7"/>
        <v>0.9</v>
      </c>
      <c r="O18" s="152">
        <f t="shared" si="8"/>
        <v>4.9000000000000002E-2</v>
      </c>
      <c r="P18" s="153">
        <f t="shared" si="9"/>
        <v>43.1</v>
      </c>
      <c r="Q18" s="152">
        <v>0.78600000000000003</v>
      </c>
      <c r="R18" s="153">
        <f t="shared" si="10"/>
        <v>691.7</v>
      </c>
      <c r="S18" s="152">
        <v>4.0000000000000001E-3</v>
      </c>
      <c r="T18" s="153">
        <f t="shared" si="11"/>
        <v>3.5</v>
      </c>
      <c r="U18" s="152">
        <v>3.0000000000000001E-3</v>
      </c>
      <c r="V18" s="153">
        <f t="shared" si="12"/>
        <v>2.6</v>
      </c>
      <c r="W18" s="152">
        <v>1.2E-2</v>
      </c>
      <c r="X18" s="153">
        <f t="shared" si="13"/>
        <v>10.6</v>
      </c>
      <c r="Y18" s="152">
        <v>1.2E-2</v>
      </c>
      <c r="Z18" s="153">
        <f t="shared" si="14"/>
        <v>10.6</v>
      </c>
      <c r="AA18" s="152">
        <f t="shared" si="15"/>
        <v>0.189</v>
      </c>
      <c r="AB18" s="153">
        <f t="shared" si="16"/>
        <v>166.3</v>
      </c>
      <c r="AC18" s="152">
        <v>3.0000000000000001E-3</v>
      </c>
      <c r="AD18" s="153">
        <f t="shared" si="0"/>
        <v>2.6</v>
      </c>
      <c r="AE18" s="153">
        <v>12</v>
      </c>
      <c r="AF18" s="153">
        <v>99.5</v>
      </c>
      <c r="AG18" s="154"/>
      <c r="AH18" s="152"/>
      <c r="AI18" s="153">
        <f t="shared" si="17"/>
        <v>0</v>
      </c>
      <c r="AJ18" s="154">
        <v>0</v>
      </c>
      <c r="AK18" s="152">
        <v>10.5</v>
      </c>
      <c r="AL18" s="153">
        <f t="shared" si="18"/>
        <v>0</v>
      </c>
      <c r="AM18" s="155">
        <v>1154.2</v>
      </c>
      <c r="AN18" s="158">
        <v>6.05</v>
      </c>
      <c r="AO18" s="153">
        <f t="shared" si="19"/>
        <v>83.8</v>
      </c>
      <c r="AP18" s="159">
        <f>(E18+I18+L18+N18+P18+R18+T18+V18+X18+Z18+AB18+AD18+AE18+AF18+AI18+AL18+AO18)*2</f>
        <v>3911.8</v>
      </c>
      <c r="AQ18" s="137">
        <f t="shared" si="1"/>
        <v>4.4451999999999998</v>
      </c>
      <c r="AR18" s="138">
        <f t="shared" si="20"/>
        <v>2.4810099999999999</v>
      </c>
      <c r="AS18" s="126"/>
    </row>
    <row r="19" spans="1:45" s="127" customFormat="1" ht="16.5" x14ac:dyDescent="0.25">
      <c r="A19" s="104">
        <v>11</v>
      </c>
      <c r="B19" s="18" t="s">
        <v>183</v>
      </c>
      <c r="C19" s="157">
        <v>3748</v>
      </c>
      <c r="D19" s="152">
        <f>0.438/12*9+0.438/12*3/100*104.3</f>
        <v>0.443</v>
      </c>
      <c r="E19" s="153">
        <f t="shared" si="2"/>
        <v>1660.4</v>
      </c>
      <c r="F19" s="154">
        <f t="shared" si="3"/>
        <v>187</v>
      </c>
      <c r="G19" s="154">
        <f t="shared" si="4"/>
        <v>3366</v>
      </c>
      <c r="H19" s="154">
        <v>30412</v>
      </c>
      <c r="I19" s="153">
        <f t="shared" si="5"/>
        <v>1023.7</v>
      </c>
      <c r="J19" s="158"/>
      <c r="K19" s="158">
        <v>2.58</v>
      </c>
      <c r="L19" s="153">
        <f t="shared" si="6"/>
        <v>0</v>
      </c>
      <c r="M19" s="152">
        <v>1E-3</v>
      </c>
      <c r="N19" s="153">
        <f t="shared" si="7"/>
        <v>3.7</v>
      </c>
      <c r="O19" s="152">
        <f t="shared" si="8"/>
        <v>4.9000000000000002E-2</v>
      </c>
      <c r="P19" s="153">
        <f t="shared" si="9"/>
        <v>183.7</v>
      </c>
      <c r="Q19" s="152">
        <v>0.78600000000000003</v>
      </c>
      <c r="R19" s="153">
        <f t="shared" si="10"/>
        <v>2945.9</v>
      </c>
      <c r="S19" s="152">
        <v>4.0000000000000001E-3</v>
      </c>
      <c r="T19" s="153">
        <f t="shared" si="11"/>
        <v>15</v>
      </c>
      <c r="U19" s="152">
        <v>3.0000000000000001E-3</v>
      </c>
      <c r="V19" s="153">
        <f t="shared" si="12"/>
        <v>11.2</v>
      </c>
      <c r="W19" s="152">
        <v>1.2E-2</v>
      </c>
      <c r="X19" s="153">
        <f t="shared" si="13"/>
        <v>45</v>
      </c>
      <c r="Y19" s="152">
        <v>1.2E-2</v>
      </c>
      <c r="Z19" s="153">
        <f t="shared" si="14"/>
        <v>45</v>
      </c>
      <c r="AA19" s="152">
        <f t="shared" si="15"/>
        <v>0.189</v>
      </c>
      <c r="AB19" s="153">
        <f t="shared" si="16"/>
        <v>708.4</v>
      </c>
      <c r="AC19" s="152">
        <v>3.0000000000000001E-3</v>
      </c>
      <c r="AD19" s="153">
        <f t="shared" si="0"/>
        <v>11.2</v>
      </c>
      <c r="AE19" s="153">
        <v>176.3</v>
      </c>
      <c r="AF19" s="153">
        <v>42.5</v>
      </c>
      <c r="AG19" s="154"/>
      <c r="AH19" s="152"/>
      <c r="AI19" s="153">
        <f t="shared" si="17"/>
        <v>0</v>
      </c>
      <c r="AJ19" s="154">
        <v>0</v>
      </c>
      <c r="AK19" s="152">
        <v>10.5</v>
      </c>
      <c r="AL19" s="153">
        <f t="shared" si="18"/>
        <v>0</v>
      </c>
      <c r="AM19" s="155">
        <v>1474.7</v>
      </c>
      <c r="AN19" s="158">
        <v>6.05</v>
      </c>
      <c r="AO19" s="153">
        <f t="shared" si="19"/>
        <v>107.1</v>
      </c>
      <c r="AP19" s="159">
        <f t="shared" si="21"/>
        <v>6979.1</v>
      </c>
      <c r="AQ19" s="137">
        <f t="shared" si="1"/>
        <v>1.8621000000000001</v>
      </c>
      <c r="AR19" s="138">
        <f t="shared" si="20"/>
        <v>1.03928</v>
      </c>
      <c r="AS19" s="126"/>
    </row>
    <row r="20" spans="1:45" s="127" customFormat="1" ht="16.5" x14ac:dyDescent="0.25">
      <c r="A20" s="104">
        <v>12</v>
      </c>
      <c r="B20" s="18" t="s">
        <v>184</v>
      </c>
      <c r="C20" s="157">
        <v>8897</v>
      </c>
      <c r="D20" s="152">
        <f>0.329/12*9+0.329/12*3/100*104.3</f>
        <v>0.33300000000000002</v>
      </c>
      <c r="E20" s="153">
        <f t="shared" si="2"/>
        <v>2962.7</v>
      </c>
      <c r="F20" s="154">
        <f t="shared" si="3"/>
        <v>445</v>
      </c>
      <c r="G20" s="154">
        <f t="shared" si="4"/>
        <v>8010</v>
      </c>
      <c r="H20" s="154">
        <v>30412</v>
      </c>
      <c r="I20" s="153">
        <f t="shared" si="5"/>
        <v>2436</v>
      </c>
      <c r="J20" s="158"/>
      <c r="K20" s="158">
        <v>2.58</v>
      </c>
      <c r="L20" s="153">
        <f t="shared" si="6"/>
        <v>0</v>
      </c>
      <c r="M20" s="152">
        <v>1E-3</v>
      </c>
      <c r="N20" s="153">
        <f t="shared" si="7"/>
        <v>8.9</v>
      </c>
      <c r="O20" s="152">
        <f t="shared" si="8"/>
        <v>4.9000000000000002E-2</v>
      </c>
      <c r="P20" s="153">
        <f t="shared" si="9"/>
        <v>436</v>
      </c>
      <c r="Q20" s="152">
        <v>0.78600000000000003</v>
      </c>
      <c r="R20" s="153">
        <f t="shared" si="10"/>
        <v>6993</v>
      </c>
      <c r="S20" s="152">
        <v>4.0000000000000001E-3</v>
      </c>
      <c r="T20" s="153">
        <f t="shared" si="11"/>
        <v>35.6</v>
      </c>
      <c r="U20" s="152">
        <v>3.0000000000000001E-3</v>
      </c>
      <c r="V20" s="153">
        <f t="shared" si="12"/>
        <v>26.7</v>
      </c>
      <c r="W20" s="152">
        <v>1.2E-2</v>
      </c>
      <c r="X20" s="153">
        <f t="shared" si="13"/>
        <v>106.8</v>
      </c>
      <c r="Y20" s="152">
        <v>1.2E-2</v>
      </c>
      <c r="Z20" s="153">
        <f t="shared" si="14"/>
        <v>106.8</v>
      </c>
      <c r="AA20" s="152">
        <f t="shared" si="15"/>
        <v>0.189</v>
      </c>
      <c r="AB20" s="153">
        <f t="shared" si="16"/>
        <v>1681.5</v>
      </c>
      <c r="AC20" s="152">
        <v>3.0000000000000001E-3</v>
      </c>
      <c r="AD20" s="153">
        <f t="shared" si="0"/>
        <v>26.7</v>
      </c>
      <c r="AE20" s="153">
        <v>238.7</v>
      </c>
      <c r="AF20" s="153">
        <v>506.4</v>
      </c>
      <c r="AG20" s="154"/>
      <c r="AH20" s="152"/>
      <c r="AI20" s="153">
        <f t="shared" si="17"/>
        <v>0</v>
      </c>
      <c r="AJ20" s="154">
        <v>0</v>
      </c>
      <c r="AK20" s="152">
        <v>10.5</v>
      </c>
      <c r="AL20" s="153">
        <f t="shared" si="18"/>
        <v>0</v>
      </c>
      <c r="AM20" s="155">
        <v>4740.5</v>
      </c>
      <c r="AN20" s="158">
        <v>6.05</v>
      </c>
      <c r="AO20" s="153">
        <f t="shared" si="19"/>
        <v>344.2</v>
      </c>
      <c r="AP20" s="159">
        <f>(E20+I20+L20+N20+P20+R20+T20+V20+X20+Z20+AB20+AD20+AE20+AF20+AI20+AL20+AO20)*0.85</f>
        <v>13523.5</v>
      </c>
      <c r="AQ20" s="137">
        <f t="shared" si="1"/>
        <v>1.52</v>
      </c>
      <c r="AR20" s="138">
        <f t="shared" si="20"/>
        <v>0.84836</v>
      </c>
      <c r="AS20" s="126"/>
    </row>
    <row r="21" spans="1:45" s="127" customFormat="1" ht="16.5" x14ac:dyDescent="0.25">
      <c r="A21" s="104">
        <v>13</v>
      </c>
      <c r="B21" s="18" t="s">
        <v>185</v>
      </c>
      <c r="C21" s="157">
        <v>3516</v>
      </c>
      <c r="D21" s="152">
        <f>0.631/12*9+0.631/12*3/100*104.3</f>
        <v>0.63800000000000001</v>
      </c>
      <c r="E21" s="153">
        <f t="shared" si="2"/>
        <v>2243.1999999999998</v>
      </c>
      <c r="F21" s="154">
        <f t="shared" si="3"/>
        <v>176</v>
      </c>
      <c r="G21" s="154">
        <f t="shared" si="4"/>
        <v>3168</v>
      </c>
      <c r="H21" s="154">
        <v>30412</v>
      </c>
      <c r="I21" s="153">
        <f t="shared" si="5"/>
        <v>963.5</v>
      </c>
      <c r="J21" s="158"/>
      <c r="K21" s="158">
        <v>2.58</v>
      </c>
      <c r="L21" s="153">
        <f t="shared" si="6"/>
        <v>0</v>
      </c>
      <c r="M21" s="152">
        <v>1E-3</v>
      </c>
      <c r="N21" s="153">
        <f t="shared" si="7"/>
        <v>3.5</v>
      </c>
      <c r="O21" s="152">
        <f t="shared" si="8"/>
        <v>4.9000000000000002E-2</v>
      </c>
      <c r="P21" s="153">
        <f t="shared" si="9"/>
        <v>172.3</v>
      </c>
      <c r="Q21" s="152">
        <v>0.78600000000000003</v>
      </c>
      <c r="R21" s="153">
        <f t="shared" si="10"/>
        <v>2763.6</v>
      </c>
      <c r="S21" s="152">
        <v>4.0000000000000001E-3</v>
      </c>
      <c r="T21" s="153">
        <f t="shared" si="11"/>
        <v>14.1</v>
      </c>
      <c r="U21" s="152">
        <v>3.0000000000000001E-3</v>
      </c>
      <c r="V21" s="153">
        <f t="shared" si="12"/>
        <v>10.5</v>
      </c>
      <c r="W21" s="152">
        <v>1.2E-2</v>
      </c>
      <c r="X21" s="153">
        <f t="shared" si="13"/>
        <v>42.2</v>
      </c>
      <c r="Y21" s="152">
        <v>1.2E-2</v>
      </c>
      <c r="Z21" s="153">
        <f t="shared" si="14"/>
        <v>42.2</v>
      </c>
      <c r="AA21" s="152">
        <f t="shared" si="15"/>
        <v>0.189</v>
      </c>
      <c r="AB21" s="153">
        <f t="shared" si="16"/>
        <v>664.5</v>
      </c>
      <c r="AC21" s="152">
        <v>3.0000000000000001E-3</v>
      </c>
      <c r="AD21" s="153">
        <f t="shared" si="0"/>
        <v>10.5</v>
      </c>
      <c r="AE21" s="153">
        <v>315.8</v>
      </c>
      <c r="AF21" s="153">
        <v>69.7</v>
      </c>
      <c r="AG21" s="154"/>
      <c r="AH21" s="152"/>
      <c r="AI21" s="153">
        <f t="shared" si="17"/>
        <v>0</v>
      </c>
      <c r="AJ21" s="154">
        <v>1</v>
      </c>
      <c r="AK21" s="152">
        <v>10.5</v>
      </c>
      <c r="AL21" s="153">
        <f t="shared" si="18"/>
        <v>10.5</v>
      </c>
      <c r="AM21" s="155">
        <v>69.599999999999994</v>
      </c>
      <c r="AN21" s="158">
        <v>6.05</v>
      </c>
      <c r="AO21" s="153">
        <f t="shared" si="19"/>
        <v>5.0999999999999996</v>
      </c>
      <c r="AP21" s="159">
        <f t="shared" si="21"/>
        <v>7331.2</v>
      </c>
      <c r="AQ21" s="137">
        <f t="shared" si="1"/>
        <v>2.0851000000000002</v>
      </c>
      <c r="AR21" s="138">
        <f t="shared" si="20"/>
        <v>1.1637500000000001</v>
      </c>
      <c r="AS21" s="126"/>
    </row>
    <row r="22" spans="1:45" s="127" customFormat="1" ht="16.5" x14ac:dyDescent="0.25">
      <c r="A22" s="104">
        <v>14</v>
      </c>
      <c r="B22" s="18" t="s">
        <v>186</v>
      </c>
      <c r="C22" s="157">
        <v>10947</v>
      </c>
      <c r="D22" s="152">
        <f>0.233/12*9+0.233/12*3/100*104.3</f>
        <v>0.23599999999999999</v>
      </c>
      <c r="E22" s="153">
        <f t="shared" si="2"/>
        <v>2583.5</v>
      </c>
      <c r="F22" s="154">
        <f t="shared" si="3"/>
        <v>547</v>
      </c>
      <c r="G22" s="154">
        <f t="shared" si="4"/>
        <v>9846</v>
      </c>
      <c r="H22" s="154">
        <v>30412</v>
      </c>
      <c r="I22" s="153">
        <f t="shared" si="5"/>
        <v>2994.4</v>
      </c>
      <c r="J22" s="158"/>
      <c r="K22" s="158">
        <v>2.58</v>
      </c>
      <c r="L22" s="153">
        <f t="shared" si="6"/>
        <v>0</v>
      </c>
      <c r="M22" s="152">
        <v>1E-3</v>
      </c>
      <c r="N22" s="153">
        <f t="shared" si="7"/>
        <v>10.9</v>
      </c>
      <c r="O22" s="152">
        <f t="shared" si="8"/>
        <v>4.9000000000000002E-2</v>
      </c>
      <c r="P22" s="153">
        <f t="shared" si="9"/>
        <v>536.4</v>
      </c>
      <c r="Q22" s="152">
        <v>0.78600000000000003</v>
      </c>
      <c r="R22" s="153">
        <f t="shared" si="10"/>
        <v>8604.2999999999993</v>
      </c>
      <c r="S22" s="152">
        <v>4.0000000000000001E-3</v>
      </c>
      <c r="T22" s="153">
        <f t="shared" si="11"/>
        <v>43.8</v>
      </c>
      <c r="U22" s="152">
        <v>3.0000000000000001E-3</v>
      </c>
      <c r="V22" s="153">
        <f t="shared" si="12"/>
        <v>32.799999999999997</v>
      </c>
      <c r="W22" s="152">
        <v>1.2E-2</v>
      </c>
      <c r="X22" s="153">
        <f t="shared" si="13"/>
        <v>131.4</v>
      </c>
      <c r="Y22" s="152">
        <v>1.2E-2</v>
      </c>
      <c r="Z22" s="153">
        <f t="shared" si="14"/>
        <v>131.4</v>
      </c>
      <c r="AA22" s="152">
        <f t="shared" si="15"/>
        <v>0.189</v>
      </c>
      <c r="AB22" s="153">
        <f t="shared" si="16"/>
        <v>2069</v>
      </c>
      <c r="AC22" s="152">
        <v>3.0000000000000001E-3</v>
      </c>
      <c r="AD22" s="153">
        <f t="shared" si="0"/>
        <v>32.799999999999997</v>
      </c>
      <c r="AE22" s="153">
        <v>86.9</v>
      </c>
      <c r="AF22" s="153">
        <v>60</v>
      </c>
      <c r="AG22" s="154"/>
      <c r="AH22" s="152"/>
      <c r="AI22" s="153">
        <f t="shared" si="17"/>
        <v>0</v>
      </c>
      <c r="AJ22" s="154">
        <v>1</v>
      </c>
      <c r="AK22" s="152">
        <v>10.5</v>
      </c>
      <c r="AL22" s="153">
        <f t="shared" si="18"/>
        <v>10.5</v>
      </c>
      <c r="AM22" s="155">
        <v>907.8</v>
      </c>
      <c r="AN22" s="158">
        <v>6.05</v>
      </c>
      <c r="AO22" s="153">
        <f t="shared" si="19"/>
        <v>65.900000000000006</v>
      </c>
      <c r="AP22" s="159">
        <f t="shared" si="21"/>
        <v>17394</v>
      </c>
      <c r="AQ22" s="137">
        <f t="shared" si="1"/>
        <v>1.5889</v>
      </c>
      <c r="AR22" s="138">
        <f t="shared" si="20"/>
        <v>0.88683000000000001</v>
      </c>
      <c r="AS22" s="126"/>
    </row>
    <row r="23" spans="1:45" s="127" customFormat="1" ht="16.5" x14ac:dyDescent="0.25">
      <c r="A23" s="105">
        <v>15</v>
      </c>
      <c r="B23" s="18" t="s">
        <v>187</v>
      </c>
      <c r="C23" s="157">
        <v>1451</v>
      </c>
      <c r="D23" s="152">
        <f>0.631/12*9+0.631/12*3/100*104.3</f>
        <v>0.63800000000000001</v>
      </c>
      <c r="E23" s="153">
        <f t="shared" si="2"/>
        <v>925.7</v>
      </c>
      <c r="F23" s="154">
        <f t="shared" si="3"/>
        <v>73</v>
      </c>
      <c r="G23" s="154">
        <f t="shared" si="4"/>
        <v>1314</v>
      </c>
      <c r="H23" s="154">
        <v>30412</v>
      </c>
      <c r="I23" s="153">
        <f t="shared" si="5"/>
        <v>399.6</v>
      </c>
      <c r="J23" s="158"/>
      <c r="K23" s="158">
        <v>2.58</v>
      </c>
      <c r="L23" s="153">
        <f t="shared" si="6"/>
        <v>0</v>
      </c>
      <c r="M23" s="152">
        <v>1E-3</v>
      </c>
      <c r="N23" s="153">
        <f t="shared" si="7"/>
        <v>1.5</v>
      </c>
      <c r="O23" s="152">
        <f t="shared" si="8"/>
        <v>4.9000000000000002E-2</v>
      </c>
      <c r="P23" s="153">
        <f t="shared" si="9"/>
        <v>71.099999999999994</v>
      </c>
      <c r="Q23" s="152">
        <v>0.78600000000000003</v>
      </c>
      <c r="R23" s="153">
        <f t="shared" si="10"/>
        <v>1140.5</v>
      </c>
      <c r="S23" s="152">
        <v>4.0000000000000001E-3</v>
      </c>
      <c r="T23" s="153">
        <f t="shared" si="11"/>
        <v>5.8</v>
      </c>
      <c r="U23" s="152">
        <v>3.0000000000000001E-3</v>
      </c>
      <c r="V23" s="153">
        <f t="shared" si="12"/>
        <v>4.4000000000000004</v>
      </c>
      <c r="W23" s="152">
        <v>1.2E-2</v>
      </c>
      <c r="X23" s="153">
        <f t="shared" si="13"/>
        <v>17.399999999999999</v>
      </c>
      <c r="Y23" s="152">
        <v>1.2E-2</v>
      </c>
      <c r="Z23" s="153">
        <f t="shared" si="14"/>
        <v>17.399999999999999</v>
      </c>
      <c r="AA23" s="152">
        <f t="shared" si="15"/>
        <v>0.189</v>
      </c>
      <c r="AB23" s="153">
        <f t="shared" si="16"/>
        <v>274.2</v>
      </c>
      <c r="AC23" s="152">
        <v>3.0000000000000001E-3</v>
      </c>
      <c r="AD23" s="153">
        <f t="shared" si="0"/>
        <v>4.4000000000000004</v>
      </c>
      <c r="AE23" s="153">
        <v>62.8</v>
      </c>
      <c r="AF23" s="153">
        <v>55</v>
      </c>
      <c r="AG23" s="154"/>
      <c r="AH23" s="152"/>
      <c r="AI23" s="153">
        <f t="shared" si="17"/>
        <v>0</v>
      </c>
      <c r="AJ23" s="154">
        <v>2</v>
      </c>
      <c r="AK23" s="152">
        <v>10.5</v>
      </c>
      <c r="AL23" s="153">
        <f t="shared" si="18"/>
        <v>21</v>
      </c>
      <c r="AM23" s="155">
        <v>176.7</v>
      </c>
      <c r="AN23" s="158">
        <v>6.05</v>
      </c>
      <c r="AO23" s="153">
        <f t="shared" si="19"/>
        <v>12.8</v>
      </c>
      <c r="AP23" s="159">
        <f>(E23+I23+L23+N23+P23+R23+T23+V23+X23+Z23+AB23+AD23+AE23+AF23+AI23+AL23+AO23)*1.3</f>
        <v>3917.7</v>
      </c>
      <c r="AQ23" s="137">
        <f t="shared" si="1"/>
        <v>2.7</v>
      </c>
      <c r="AR23" s="138">
        <f t="shared" si="20"/>
        <v>1.50695</v>
      </c>
      <c r="AS23" s="126"/>
    </row>
    <row r="24" spans="1:45" ht="15.75" x14ac:dyDescent="0.25">
      <c r="A24" s="178" t="s">
        <v>0</v>
      </c>
      <c r="B24" s="178"/>
      <c r="C24" s="139">
        <f>SUM(C9:C23)</f>
        <v>60223</v>
      </c>
      <c r="D24" s="131" t="s">
        <v>79</v>
      </c>
      <c r="E24" s="149">
        <f>SUM(E9:E23)</f>
        <v>24585</v>
      </c>
      <c r="F24" s="140">
        <f>SUM(F9:F23)</f>
        <v>3011</v>
      </c>
      <c r="G24" s="140">
        <f>SUM(G9:G23)</f>
        <v>54198</v>
      </c>
      <c r="H24" s="131" t="s">
        <v>79</v>
      </c>
      <c r="I24" s="149">
        <f>SUM(I9:I23)</f>
        <v>16482.8</v>
      </c>
      <c r="J24" s="140">
        <f>SUM(J9:J23)</f>
        <v>0</v>
      </c>
      <c r="K24" s="141" t="s">
        <v>5</v>
      </c>
      <c r="L24" s="149">
        <f>SUM(L9:L23)</f>
        <v>0</v>
      </c>
      <c r="M24" s="141" t="s">
        <v>5</v>
      </c>
      <c r="N24" s="149">
        <f t="shared" ref="N24:P24" si="22">SUM(N9:N23)</f>
        <v>60.3</v>
      </c>
      <c r="O24" s="141" t="s">
        <v>5</v>
      </c>
      <c r="P24" s="149">
        <f t="shared" si="22"/>
        <v>2951</v>
      </c>
      <c r="Q24" s="141" t="s">
        <v>5</v>
      </c>
      <c r="R24" s="149">
        <f t="shared" ref="R24" si="23">SUM(R9:R23)</f>
        <v>47335.1</v>
      </c>
      <c r="S24" s="141" t="s">
        <v>5</v>
      </c>
      <c r="T24" s="149">
        <f t="shared" ref="T24" si="24">SUM(T9:T23)</f>
        <v>240.9</v>
      </c>
      <c r="U24" s="141" t="s">
        <v>5</v>
      </c>
      <c r="V24" s="149">
        <f t="shared" ref="V24" si="25">SUM(V9:V23)</f>
        <v>180.6</v>
      </c>
      <c r="W24" s="141" t="s">
        <v>5</v>
      </c>
      <c r="X24" s="149">
        <f t="shared" ref="X24" si="26">SUM(X9:X23)</f>
        <v>722.8</v>
      </c>
      <c r="Y24" s="141" t="s">
        <v>5</v>
      </c>
      <c r="Z24" s="149">
        <f t="shared" ref="Z24" si="27">SUM(Z9:Z23)</f>
        <v>722.8</v>
      </c>
      <c r="AA24" s="141" t="s">
        <v>5</v>
      </c>
      <c r="AB24" s="149">
        <f t="shared" ref="AB24" si="28">SUM(AB9:AB23)</f>
        <v>11382.1</v>
      </c>
      <c r="AC24" s="141" t="s">
        <v>5</v>
      </c>
      <c r="AD24" s="149">
        <f t="shared" ref="AD24:AF24" si="29">SUM(AD9:AD23)</f>
        <v>180.6</v>
      </c>
      <c r="AE24" s="149">
        <f t="shared" si="29"/>
        <v>2073.8000000000002</v>
      </c>
      <c r="AF24" s="149">
        <f t="shared" si="29"/>
        <v>1687.7</v>
      </c>
      <c r="AG24" s="139">
        <f>SUM(AG9:AG23)</f>
        <v>0</v>
      </c>
      <c r="AH24" s="141" t="s">
        <v>5</v>
      </c>
      <c r="AI24" s="149">
        <f t="shared" ref="AI24" si="30">SUM(AI9:AI23)</f>
        <v>0</v>
      </c>
      <c r="AJ24" s="139">
        <f>SUM(AJ9:AJ23)</f>
        <v>21</v>
      </c>
      <c r="AK24" s="141" t="s">
        <v>5</v>
      </c>
      <c r="AL24" s="149">
        <f t="shared" ref="AL24" si="31">SUM(AL9:AL23)</f>
        <v>220.5</v>
      </c>
      <c r="AM24" s="141" t="s">
        <v>5</v>
      </c>
      <c r="AN24" s="131" t="s">
        <v>79</v>
      </c>
      <c r="AO24" s="149">
        <f>SUM(AO9:AO23)</f>
        <v>1759.4</v>
      </c>
      <c r="AP24" s="149">
        <f>SUM(AP9:AP23)</f>
        <v>107901.6</v>
      </c>
      <c r="AQ24" s="142">
        <f>SUM(AQ9:AQ23)</f>
        <v>32.182000000000002</v>
      </c>
      <c r="AR24" s="146">
        <f>(AP24/C24)/($AP$24/$C$24)</f>
        <v>1</v>
      </c>
    </row>
    <row r="25" spans="1:45" x14ac:dyDescent="0.2">
      <c r="C25" s="5"/>
      <c r="AA25" s="5"/>
      <c r="AD25" s="5"/>
      <c r="AE25" s="5"/>
      <c r="AF25" s="5"/>
      <c r="AI25" s="5"/>
      <c r="AL25" s="5"/>
      <c r="AS25" s="4"/>
    </row>
    <row r="26" spans="1:45" x14ac:dyDescent="0.2">
      <c r="C26" s="9"/>
      <c r="AA26" s="5"/>
      <c r="AD26" s="5"/>
      <c r="AE26" s="5"/>
      <c r="AF26" s="5"/>
      <c r="AI26" s="5"/>
      <c r="AL26" s="5"/>
      <c r="AP26" s="4"/>
    </row>
    <row r="27" spans="1:45" x14ac:dyDescent="0.2">
      <c r="D27" s="5" t="s">
        <v>81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 t="s">
        <v>81</v>
      </c>
      <c r="Y27" s="5"/>
      <c r="AM27" s="5" t="s">
        <v>80</v>
      </c>
    </row>
    <row r="28" spans="1:45" ht="15.75" x14ac:dyDescent="0.25">
      <c r="AD28" s="71"/>
      <c r="AE28" s="71"/>
      <c r="AF28" s="71"/>
      <c r="AI28" s="71"/>
      <c r="AL28" s="71"/>
      <c r="AM28" s="5" t="s">
        <v>80</v>
      </c>
    </row>
    <row r="29" spans="1:45" x14ac:dyDescent="0.2">
      <c r="B29" s="5" t="s">
        <v>80</v>
      </c>
    </row>
    <row r="31" spans="1:45" ht="12.75" hidden="1" customHeight="1" x14ac:dyDescent="0.2">
      <c r="A31" s="187" t="s">
        <v>1</v>
      </c>
      <c r="B31" s="187" t="s">
        <v>2</v>
      </c>
      <c r="C31" s="182" t="s">
        <v>82</v>
      </c>
      <c r="D31" s="169" t="s">
        <v>50</v>
      </c>
      <c r="E31" s="144"/>
      <c r="F31" s="144"/>
      <c r="G31" s="144"/>
      <c r="H31" s="144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69" t="s">
        <v>50</v>
      </c>
      <c r="U31" s="143"/>
      <c r="V31" s="182" t="s">
        <v>51</v>
      </c>
      <c r="W31" s="169" t="s">
        <v>52</v>
      </c>
      <c r="X31" s="182" t="s">
        <v>53</v>
      </c>
      <c r="Y31" s="169" t="s">
        <v>54</v>
      </c>
      <c r="Z31" s="182" t="s">
        <v>55</v>
      </c>
      <c r="AA31" s="191"/>
      <c r="AB31" s="191"/>
      <c r="AC31" s="200" t="s">
        <v>56</v>
      </c>
      <c r="AD31" s="169" t="s">
        <v>57</v>
      </c>
      <c r="AE31" s="169" t="s">
        <v>57</v>
      </c>
      <c r="AF31" s="169" t="s">
        <v>57</v>
      </c>
      <c r="AG31" s="169" t="s">
        <v>56</v>
      </c>
      <c r="AH31" s="143"/>
      <c r="AI31" s="169" t="s">
        <v>57</v>
      </c>
      <c r="AJ31" s="169" t="s">
        <v>56</v>
      </c>
      <c r="AK31" s="143"/>
      <c r="AL31" s="169" t="s">
        <v>57</v>
      </c>
      <c r="AM31" s="169" t="s">
        <v>83</v>
      </c>
      <c r="AN31" s="182" t="s">
        <v>84</v>
      </c>
      <c r="AO31" s="169" t="s">
        <v>58</v>
      </c>
    </row>
    <row r="32" spans="1:45" ht="12.75" hidden="1" customHeight="1" x14ac:dyDescent="0.2">
      <c r="A32" s="188"/>
      <c r="B32" s="190"/>
      <c r="C32" s="182"/>
      <c r="D32" s="169"/>
      <c r="E32" s="145"/>
      <c r="F32" s="145"/>
      <c r="G32" s="145"/>
      <c r="H32" s="145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69"/>
      <c r="U32" s="143"/>
      <c r="V32" s="182"/>
      <c r="W32" s="169"/>
      <c r="X32" s="182"/>
      <c r="Y32" s="169"/>
      <c r="Z32" s="182"/>
      <c r="AA32" s="192"/>
      <c r="AB32" s="192"/>
      <c r="AC32" s="201"/>
      <c r="AD32" s="169"/>
      <c r="AE32" s="169"/>
      <c r="AF32" s="169"/>
      <c r="AG32" s="169"/>
      <c r="AH32" s="143"/>
      <c r="AI32" s="169"/>
      <c r="AJ32" s="169"/>
      <c r="AK32" s="143"/>
      <c r="AL32" s="169"/>
      <c r="AM32" s="169"/>
      <c r="AN32" s="182"/>
      <c r="AO32" s="169"/>
    </row>
    <row r="33" spans="1:41" ht="34.5" hidden="1" customHeight="1" x14ac:dyDescent="0.2">
      <c r="A33" s="189"/>
      <c r="B33" s="189"/>
      <c r="C33" s="182"/>
      <c r="D33" s="169"/>
      <c r="E33" s="145"/>
      <c r="F33" s="145"/>
      <c r="G33" s="145"/>
      <c r="H33" s="145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69"/>
      <c r="U33" s="143"/>
      <c r="V33" s="182"/>
      <c r="W33" s="169"/>
      <c r="X33" s="182"/>
      <c r="Y33" s="169"/>
      <c r="Z33" s="182"/>
      <c r="AA33" s="193"/>
      <c r="AB33" s="193"/>
      <c r="AC33" s="202"/>
      <c r="AD33" s="169"/>
      <c r="AE33" s="169"/>
      <c r="AF33" s="169"/>
      <c r="AG33" s="169"/>
      <c r="AH33" s="143"/>
      <c r="AI33" s="169"/>
      <c r="AJ33" s="169"/>
      <c r="AK33" s="143"/>
      <c r="AL33" s="169"/>
      <c r="AM33" s="169"/>
      <c r="AN33" s="182"/>
      <c r="AO33" s="169"/>
    </row>
    <row r="34" spans="1:41" ht="14.25" hidden="1" customHeight="1" thickBot="1" x14ac:dyDescent="0.25">
      <c r="A34" s="194" t="s">
        <v>63</v>
      </c>
      <c r="B34" s="195"/>
      <c r="C34" s="44">
        <v>1</v>
      </c>
      <c r="D34" s="45">
        <v>2</v>
      </c>
      <c r="E34" s="128"/>
      <c r="F34" s="128"/>
      <c r="G34" s="128"/>
      <c r="H34" s="128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>
        <v>2</v>
      </c>
      <c r="U34" s="45"/>
      <c r="V34" s="44" t="s">
        <v>64</v>
      </c>
      <c r="W34" s="45">
        <v>4</v>
      </c>
      <c r="X34" s="44" t="s">
        <v>65</v>
      </c>
      <c r="Y34" s="45">
        <v>6</v>
      </c>
      <c r="Z34" s="44" t="s">
        <v>66</v>
      </c>
      <c r="AA34" s="44"/>
      <c r="AB34" s="44"/>
      <c r="AC34" s="45">
        <v>8</v>
      </c>
      <c r="AD34" s="44">
        <v>9</v>
      </c>
      <c r="AE34" s="44">
        <v>9</v>
      </c>
      <c r="AF34" s="44">
        <v>9</v>
      </c>
      <c r="AG34" s="45">
        <v>8</v>
      </c>
      <c r="AH34" s="45"/>
      <c r="AI34" s="44">
        <v>9</v>
      </c>
      <c r="AJ34" s="45">
        <v>8</v>
      </c>
      <c r="AK34" s="45"/>
      <c r="AL34" s="44">
        <v>9</v>
      </c>
      <c r="AM34" s="45">
        <v>11</v>
      </c>
      <c r="AN34" s="45" t="s">
        <v>67</v>
      </c>
      <c r="AO34" s="45">
        <v>13</v>
      </c>
    </row>
    <row r="35" spans="1:41" ht="17.25" hidden="1" customHeight="1" x14ac:dyDescent="0.2">
      <c r="A35" s="196"/>
      <c r="B35" s="197"/>
      <c r="C35" s="46" t="s">
        <v>68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  <c r="W35" s="49"/>
      <c r="X35" s="50"/>
      <c r="Y35" s="49"/>
      <c r="Z35" s="51"/>
      <c r="AA35" s="51"/>
      <c r="AB35" s="51"/>
      <c r="AC35" s="50"/>
      <c r="AD35" s="52">
        <v>4.3E-3</v>
      </c>
      <c r="AE35" s="52">
        <v>4.3E-3</v>
      </c>
      <c r="AF35" s="52">
        <v>4.3E-3</v>
      </c>
      <c r="AG35" s="50"/>
      <c r="AH35" s="50"/>
      <c r="AI35" s="52">
        <v>4.3E-3</v>
      </c>
      <c r="AJ35" s="50"/>
      <c r="AK35" s="50"/>
      <c r="AL35" s="52">
        <v>4.3E-3</v>
      </c>
      <c r="AM35" s="49"/>
      <c r="AN35" s="50"/>
      <c r="AO35" s="49"/>
    </row>
    <row r="36" spans="1:41" ht="15.75" hidden="1" customHeight="1" x14ac:dyDescent="0.25">
      <c r="A36" s="53">
        <v>1</v>
      </c>
      <c r="B36" s="54" t="s">
        <v>69</v>
      </c>
      <c r="C36" s="66">
        <v>33351</v>
      </c>
      <c r="D36" s="72">
        <v>0.496</v>
      </c>
      <c r="E36" s="129"/>
      <c r="F36" s="129"/>
      <c r="G36" s="129"/>
      <c r="H36" s="129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>
        <v>0.496</v>
      </c>
      <c r="U36" s="72"/>
      <c r="V36" s="68">
        <f t="shared" ref="V36:V54" si="32">C36*D36</f>
        <v>16542</v>
      </c>
      <c r="W36" s="73">
        <v>0.06</v>
      </c>
      <c r="X36" s="58">
        <f t="shared" ref="X36:X54" si="33">W36*C36</f>
        <v>2001</v>
      </c>
      <c r="Y36" s="55">
        <v>0.40899999999999997</v>
      </c>
      <c r="Z36" s="63">
        <f t="shared" ref="Z36:Z54" si="34">Y36*C36</f>
        <v>13640.56</v>
      </c>
      <c r="AA36" s="57"/>
      <c r="AB36" s="58"/>
      <c r="AC36" s="59">
        <v>88.1</v>
      </c>
      <c r="AD36" s="60">
        <v>0</v>
      </c>
      <c r="AE36" s="60">
        <v>0</v>
      </c>
      <c r="AF36" s="60">
        <v>0</v>
      </c>
      <c r="AG36" s="59">
        <v>88.1</v>
      </c>
      <c r="AH36" s="59"/>
      <c r="AI36" s="60">
        <v>0</v>
      </c>
      <c r="AJ36" s="59">
        <v>88.1</v>
      </c>
      <c r="AK36" s="59"/>
      <c r="AL36" s="60">
        <v>0</v>
      </c>
      <c r="AM36" s="60"/>
      <c r="AN36" s="74">
        <v>127</v>
      </c>
      <c r="AO36" s="75">
        <v>3.7000000000000002E-3</v>
      </c>
    </row>
    <row r="37" spans="1:41" ht="15.75" hidden="1" customHeight="1" x14ac:dyDescent="0.25">
      <c r="A37" s="61">
        <v>2</v>
      </c>
      <c r="B37" s="62" t="s">
        <v>70</v>
      </c>
      <c r="C37" s="66">
        <v>5340</v>
      </c>
      <c r="D37" s="72">
        <v>0.496</v>
      </c>
      <c r="E37" s="129"/>
      <c r="F37" s="129"/>
      <c r="G37" s="129"/>
      <c r="H37" s="129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>
        <v>0.496</v>
      </c>
      <c r="U37" s="72"/>
      <c r="V37" s="68">
        <f t="shared" si="32"/>
        <v>2649</v>
      </c>
      <c r="W37" s="73">
        <v>0.15</v>
      </c>
      <c r="X37" s="58">
        <f t="shared" si="33"/>
        <v>801</v>
      </c>
      <c r="Y37" s="55">
        <v>0.40899999999999997</v>
      </c>
      <c r="Z37" s="64">
        <f t="shared" si="34"/>
        <v>2184.06</v>
      </c>
      <c r="AA37" s="57"/>
      <c r="AB37" s="58"/>
      <c r="AC37" s="59">
        <v>15.2</v>
      </c>
      <c r="AD37" s="60">
        <v>0</v>
      </c>
      <c r="AE37" s="60">
        <v>0</v>
      </c>
      <c r="AF37" s="60">
        <v>0</v>
      </c>
      <c r="AG37" s="59">
        <v>15.2</v>
      </c>
      <c r="AH37" s="59"/>
      <c r="AI37" s="60">
        <v>0</v>
      </c>
      <c r="AJ37" s="59">
        <v>15.2</v>
      </c>
      <c r="AK37" s="59"/>
      <c r="AL37" s="60">
        <v>0</v>
      </c>
      <c r="AM37" s="60"/>
      <c r="AN37" s="76">
        <v>127</v>
      </c>
      <c r="AO37" s="75">
        <v>3.7000000000000002E-3</v>
      </c>
    </row>
    <row r="38" spans="1:41" ht="15.75" hidden="1" customHeight="1" x14ac:dyDescent="0.25">
      <c r="A38" s="61">
        <v>3</v>
      </c>
      <c r="B38" s="62" t="s">
        <v>71</v>
      </c>
      <c r="C38" s="66">
        <v>5077</v>
      </c>
      <c r="D38" s="72">
        <v>0.496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>
        <v>0.496</v>
      </c>
      <c r="U38" s="72"/>
      <c r="V38" s="68">
        <f t="shared" si="32"/>
        <v>2518</v>
      </c>
      <c r="W38" s="73">
        <v>0.15</v>
      </c>
      <c r="X38" s="58">
        <f t="shared" si="33"/>
        <v>762</v>
      </c>
      <c r="Y38" s="55">
        <v>0.40899999999999997</v>
      </c>
      <c r="Z38" s="64">
        <f t="shared" si="34"/>
        <v>2076.4929999999999</v>
      </c>
      <c r="AA38" s="57"/>
      <c r="AB38" s="58"/>
      <c r="AC38" s="59">
        <v>10.199999999999999</v>
      </c>
      <c r="AD38" s="60">
        <v>0</v>
      </c>
      <c r="AE38" s="60">
        <v>0</v>
      </c>
      <c r="AF38" s="60">
        <v>0</v>
      </c>
      <c r="AG38" s="59">
        <v>10.199999999999999</v>
      </c>
      <c r="AH38" s="59"/>
      <c r="AI38" s="60">
        <v>0</v>
      </c>
      <c r="AJ38" s="59">
        <v>10.199999999999999</v>
      </c>
      <c r="AK38" s="59"/>
      <c r="AL38" s="60">
        <v>0</v>
      </c>
      <c r="AM38" s="60"/>
      <c r="AN38" s="76">
        <v>127</v>
      </c>
      <c r="AO38" s="75">
        <v>3.7000000000000002E-3</v>
      </c>
    </row>
    <row r="39" spans="1:41" ht="15.75" hidden="1" customHeight="1" x14ac:dyDescent="0.25">
      <c r="A39" s="61">
        <v>4</v>
      </c>
      <c r="B39" s="62" t="s">
        <v>72</v>
      </c>
      <c r="C39" s="66">
        <v>6359</v>
      </c>
      <c r="D39" s="72">
        <v>0.496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>
        <v>0.496</v>
      </c>
      <c r="U39" s="72"/>
      <c r="V39" s="68">
        <f t="shared" si="32"/>
        <v>3154</v>
      </c>
      <c r="W39" s="73">
        <v>0.15</v>
      </c>
      <c r="X39" s="58">
        <f t="shared" si="33"/>
        <v>954</v>
      </c>
      <c r="Y39" s="55">
        <v>0.40899999999999997</v>
      </c>
      <c r="Z39" s="64">
        <f t="shared" si="34"/>
        <v>2600.8310000000001</v>
      </c>
      <c r="AA39" s="57"/>
      <c r="AB39" s="58"/>
      <c r="AC39" s="59">
        <v>6.8</v>
      </c>
      <c r="AD39" s="60">
        <v>0</v>
      </c>
      <c r="AE39" s="60">
        <v>0</v>
      </c>
      <c r="AF39" s="60">
        <v>0</v>
      </c>
      <c r="AG39" s="59">
        <v>6.8</v>
      </c>
      <c r="AH39" s="59"/>
      <c r="AI39" s="60">
        <v>0</v>
      </c>
      <c r="AJ39" s="59">
        <v>6.8</v>
      </c>
      <c r="AK39" s="59"/>
      <c r="AL39" s="60">
        <v>0</v>
      </c>
      <c r="AM39" s="60"/>
      <c r="AN39" s="76">
        <v>127</v>
      </c>
      <c r="AO39" s="75">
        <v>3.7000000000000002E-3</v>
      </c>
    </row>
    <row r="40" spans="1:41" ht="15.75" hidden="1" customHeight="1" x14ac:dyDescent="0.25">
      <c r="A40" s="61">
        <v>5</v>
      </c>
      <c r="B40" s="62" t="s">
        <v>73</v>
      </c>
      <c r="C40" s="66">
        <v>4707</v>
      </c>
      <c r="D40" s="72">
        <v>0.496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>
        <v>0.496</v>
      </c>
      <c r="U40" s="72"/>
      <c r="V40" s="68">
        <f t="shared" si="32"/>
        <v>2335</v>
      </c>
      <c r="W40" s="73">
        <v>0.2</v>
      </c>
      <c r="X40" s="58">
        <f t="shared" si="33"/>
        <v>941</v>
      </c>
      <c r="Y40" s="55">
        <v>0.40899999999999997</v>
      </c>
      <c r="Z40" s="64">
        <f t="shared" si="34"/>
        <v>1925.163</v>
      </c>
      <c r="AA40" s="57"/>
      <c r="AB40" s="58"/>
      <c r="AC40" s="59">
        <v>6.4</v>
      </c>
      <c r="AD40" s="60">
        <v>0</v>
      </c>
      <c r="AE40" s="60">
        <v>0</v>
      </c>
      <c r="AF40" s="60">
        <v>0</v>
      </c>
      <c r="AG40" s="59">
        <v>6.4</v>
      </c>
      <c r="AH40" s="59"/>
      <c r="AI40" s="60">
        <v>0</v>
      </c>
      <c r="AJ40" s="59">
        <v>6.4</v>
      </c>
      <c r="AK40" s="59"/>
      <c r="AL40" s="60">
        <v>0</v>
      </c>
      <c r="AM40" s="60"/>
      <c r="AN40" s="76">
        <v>127</v>
      </c>
      <c r="AO40" s="75">
        <v>3.7000000000000002E-3</v>
      </c>
    </row>
    <row r="41" spans="1:41" ht="15.75" hidden="1" customHeight="1" x14ac:dyDescent="0.25">
      <c r="A41" s="61">
        <v>6</v>
      </c>
      <c r="B41" s="62" t="s">
        <v>74</v>
      </c>
      <c r="C41" s="66">
        <v>1875</v>
      </c>
      <c r="D41" s="77">
        <v>0.59799999999999998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>
        <v>0.59799999999999998</v>
      </c>
      <c r="U41" s="77"/>
      <c r="V41" s="68">
        <f t="shared" si="32"/>
        <v>1121</v>
      </c>
      <c r="W41" s="73">
        <v>0.3</v>
      </c>
      <c r="X41" s="58">
        <f t="shared" si="33"/>
        <v>563</v>
      </c>
      <c r="Y41" s="55">
        <v>0.23</v>
      </c>
      <c r="Z41" s="64">
        <f t="shared" si="34"/>
        <v>431.25</v>
      </c>
      <c r="AA41" s="64"/>
      <c r="AB41" s="58"/>
      <c r="AC41" s="59">
        <v>8.6999999999999993</v>
      </c>
      <c r="AD41" s="60">
        <v>0</v>
      </c>
      <c r="AE41" s="60">
        <v>0</v>
      </c>
      <c r="AF41" s="60">
        <v>0</v>
      </c>
      <c r="AG41" s="59">
        <v>8.6999999999999993</v>
      </c>
      <c r="AH41" s="59"/>
      <c r="AI41" s="60">
        <v>0</v>
      </c>
      <c r="AJ41" s="59">
        <v>8.6999999999999993</v>
      </c>
      <c r="AK41" s="59"/>
      <c r="AL41" s="60">
        <v>0</v>
      </c>
      <c r="AM41" s="60"/>
      <c r="AN41" s="76">
        <v>127</v>
      </c>
      <c r="AO41" s="75">
        <v>2.5999999999999999E-3</v>
      </c>
    </row>
    <row r="42" spans="1:41" ht="15.75" hidden="1" customHeight="1" x14ac:dyDescent="0.25">
      <c r="A42" s="61">
        <v>7</v>
      </c>
      <c r="B42" s="62" t="s">
        <v>75</v>
      </c>
      <c r="C42" s="66">
        <v>2513</v>
      </c>
      <c r="D42" s="77">
        <v>0.59799999999999998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>
        <v>0.59799999999999998</v>
      </c>
      <c r="U42" s="77"/>
      <c r="V42" s="68">
        <f t="shared" si="32"/>
        <v>1503</v>
      </c>
      <c r="W42" s="73">
        <v>0.3</v>
      </c>
      <c r="X42" s="58">
        <f t="shared" si="33"/>
        <v>754</v>
      </c>
      <c r="Y42" s="55">
        <v>0.23</v>
      </c>
      <c r="Z42" s="64">
        <f t="shared" si="34"/>
        <v>577.99</v>
      </c>
      <c r="AA42" s="64"/>
      <c r="AB42" s="58"/>
      <c r="AC42" s="59">
        <v>7</v>
      </c>
      <c r="AD42" s="60">
        <v>0</v>
      </c>
      <c r="AE42" s="60">
        <v>0</v>
      </c>
      <c r="AF42" s="60">
        <v>0</v>
      </c>
      <c r="AG42" s="59">
        <v>7</v>
      </c>
      <c r="AH42" s="59"/>
      <c r="AI42" s="60">
        <v>0</v>
      </c>
      <c r="AJ42" s="59">
        <v>7</v>
      </c>
      <c r="AK42" s="59"/>
      <c r="AL42" s="60">
        <v>0</v>
      </c>
      <c r="AM42" s="60"/>
      <c r="AN42" s="76">
        <v>127</v>
      </c>
      <c r="AO42" s="75">
        <v>2.5999999999999999E-3</v>
      </c>
    </row>
    <row r="43" spans="1:41" ht="15.75" hidden="1" customHeight="1" x14ac:dyDescent="0.25">
      <c r="A43" s="61">
        <v>8</v>
      </c>
      <c r="B43" s="62" t="s">
        <v>76</v>
      </c>
      <c r="C43" s="66">
        <v>595</v>
      </c>
      <c r="D43" s="77">
        <v>0.59799999999999998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>
        <v>0.59799999999999998</v>
      </c>
      <c r="U43" s="77"/>
      <c r="V43" s="56">
        <f t="shared" si="32"/>
        <v>355.8</v>
      </c>
      <c r="W43" s="73">
        <v>0.5</v>
      </c>
      <c r="X43" s="58">
        <f t="shared" si="33"/>
        <v>298</v>
      </c>
      <c r="Y43" s="55">
        <v>0.23</v>
      </c>
      <c r="Z43" s="64">
        <f t="shared" si="34"/>
        <v>136.85</v>
      </c>
      <c r="AA43" s="64"/>
      <c r="AB43" s="58"/>
      <c r="AC43" s="59">
        <v>0.5</v>
      </c>
      <c r="AD43" s="60"/>
      <c r="AE43" s="60"/>
      <c r="AF43" s="60"/>
      <c r="AG43" s="59">
        <v>0.5</v>
      </c>
      <c r="AH43" s="59"/>
      <c r="AI43" s="60"/>
      <c r="AJ43" s="59">
        <v>0.5</v>
      </c>
      <c r="AK43" s="59"/>
      <c r="AL43" s="60"/>
      <c r="AM43" s="60"/>
      <c r="AN43" s="76">
        <v>127</v>
      </c>
      <c r="AO43" s="75">
        <v>2.5999999999999999E-3</v>
      </c>
    </row>
    <row r="44" spans="1:41" ht="15.75" hidden="1" customHeight="1" x14ac:dyDescent="0.25">
      <c r="A44" s="61">
        <v>9</v>
      </c>
      <c r="B44" s="62" t="s">
        <v>77</v>
      </c>
      <c r="C44" s="66">
        <v>2240</v>
      </c>
      <c r="D44" s="77">
        <v>0.59799999999999998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>
        <v>0.59799999999999998</v>
      </c>
      <c r="U44" s="77"/>
      <c r="V44" s="56">
        <f t="shared" si="32"/>
        <v>1339.5</v>
      </c>
      <c r="W44" s="73">
        <v>0.3</v>
      </c>
      <c r="X44" s="58">
        <f t="shared" si="33"/>
        <v>672</v>
      </c>
      <c r="Y44" s="55">
        <v>0.23</v>
      </c>
      <c r="Z44" s="64">
        <f t="shared" si="34"/>
        <v>515.20000000000005</v>
      </c>
      <c r="AA44" s="64"/>
      <c r="AB44" s="58"/>
      <c r="AC44" s="59">
        <v>5.8</v>
      </c>
      <c r="AD44" s="60">
        <v>0</v>
      </c>
      <c r="AE44" s="60">
        <v>0</v>
      </c>
      <c r="AF44" s="60">
        <v>0</v>
      </c>
      <c r="AG44" s="59">
        <v>5.8</v>
      </c>
      <c r="AH44" s="59"/>
      <c r="AI44" s="60">
        <v>0</v>
      </c>
      <c r="AJ44" s="59">
        <v>5.8</v>
      </c>
      <c r="AK44" s="59"/>
      <c r="AL44" s="60">
        <v>0</v>
      </c>
      <c r="AM44" s="60"/>
      <c r="AN44" s="76">
        <v>127</v>
      </c>
      <c r="AO44" s="75">
        <v>2.5999999999999999E-3</v>
      </c>
    </row>
    <row r="45" spans="1:41" ht="15.75" hidden="1" customHeight="1" x14ac:dyDescent="0.25">
      <c r="A45" s="61">
        <v>10</v>
      </c>
      <c r="B45" s="62" t="s">
        <v>78</v>
      </c>
      <c r="C45" s="66">
        <v>386</v>
      </c>
      <c r="D45" s="77">
        <v>0.59799999999999998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>
        <v>0.59799999999999998</v>
      </c>
      <c r="U45" s="77"/>
      <c r="V45" s="68">
        <f t="shared" si="32"/>
        <v>231</v>
      </c>
      <c r="W45" s="73">
        <v>0.5</v>
      </c>
      <c r="X45" s="58">
        <f t="shared" si="33"/>
        <v>193</v>
      </c>
      <c r="Y45" s="55">
        <v>0.23</v>
      </c>
      <c r="Z45" s="64">
        <f t="shared" si="34"/>
        <v>88.78</v>
      </c>
      <c r="AA45" s="64"/>
      <c r="AB45" s="58"/>
      <c r="AC45" s="65"/>
      <c r="AD45" s="60"/>
      <c r="AE45" s="60"/>
      <c r="AF45" s="60"/>
      <c r="AG45" s="65"/>
      <c r="AH45" s="65"/>
      <c r="AI45" s="60"/>
      <c r="AJ45" s="65"/>
      <c r="AK45" s="65"/>
      <c r="AL45" s="60"/>
      <c r="AM45" s="60"/>
      <c r="AN45" s="76">
        <v>127</v>
      </c>
      <c r="AO45" s="75">
        <v>2.5999999999999999E-3</v>
      </c>
    </row>
    <row r="46" spans="1:41" ht="15.75" hidden="1" customHeight="1" x14ac:dyDescent="0.25">
      <c r="A46" s="61">
        <v>11</v>
      </c>
      <c r="B46" s="62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8">
        <f t="shared" si="32"/>
        <v>0</v>
      </c>
      <c r="W46" s="59"/>
      <c r="X46" s="58">
        <f t="shared" si="33"/>
        <v>0</v>
      </c>
      <c r="Y46" s="69"/>
      <c r="Z46" s="58">
        <f t="shared" si="34"/>
        <v>0</v>
      </c>
      <c r="AA46" s="58"/>
      <c r="AB46" s="58"/>
      <c r="AC46" s="65"/>
      <c r="AD46" s="60"/>
      <c r="AE46" s="60"/>
      <c r="AF46" s="60"/>
      <c r="AG46" s="65"/>
      <c r="AH46" s="65"/>
      <c r="AI46" s="60"/>
      <c r="AJ46" s="65"/>
      <c r="AK46" s="65"/>
      <c r="AL46" s="60"/>
      <c r="AM46" s="60"/>
      <c r="AN46" s="58"/>
      <c r="AO46" s="60"/>
    </row>
    <row r="47" spans="1:41" ht="15.75" hidden="1" customHeight="1" x14ac:dyDescent="0.25">
      <c r="A47" s="61">
        <v>12</v>
      </c>
      <c r="B47" s="62"/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8">
        <f t="shared" si="32"/>
        <v>0</v>
      </c>
      <c r="W47" s="59"/>
      <c r="X47" s="58">
        <f t="shared" si="33"/>
        <v>0</v>
      </c>
      <c r="Y47" s="69"/>
      <c r="Z47" s="58">
        <f t="shared" si="34"/>
        <v>0</v>
      </c>
      <c r="AA47" s="58"/>
      <c r="AB47" s="58"/>
      <c r="AC47" s="65"/>
      <c r="AD47" s="60"/>
      <c r="AE47" s="60"/>
      <c r="AF47" s="60"/>
      <c r="AG47" s="65"/>
      <c r="AH47" s="65"/>
      <c r="AI47" s="60"/>
      <c r="AJ47" s="65"/>
      <c r="AK47" s="65"/>
      <c r="AL47" s="60"/>
      <c r="AM47" s="60"/>
      <c r="AN47" s="58"/>
      <c r="AO47" s="60"/>
    </row>
    <row r="48" spans="1:41" ht="15.75" hidden="1" customHeight="1" x14ac:dyDescent="0.25">
      <c r="A48" s="61">
        <v>13</v>
      </c>
      <c r="B48" s="62"/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8">
        <f t="shared" si="32"/>
        <v>0</v>
      </c>
      <c r="W48" s="59"/>
      <c r="X48" s="58">
        <f t="shared" si="33"/>
        <v>0</v>
      </c>
      <c r="Y48" s="69"/>
      <c r="Z48" s="58">
        <f t="shared" si="34"/>
        <v>0</v>
      </c>
      <c r="AA48" s="58"/>
      <c r="AB48" s="58"/>
      <c r="AC48" s="65"/>
      <c r="AD48" s="60"/>
      <c r="AE48" s="60"/>
      <c r="AF48" s="60"/>
      <c r="AG48" s="65"/>
      <c r="AH48" s="65"/>
      <c r="AI48" s="60"/>
      <c r="AJ48" s="65"/>
      <c r="AK48" s="65"/>
      <c r="AL48" s="60"/>
      <c r="AM48" s="60"/>
      <c r="AN48" s="58"/>
      <c r="AO48" s="60"/>
    </row>
    <row r="49" spans="1:41" ht="15.75" hidden="1" customHeight="1" x14ac:dyDescent="0.25">
      <c r="A49" s="61">
        <v>14</v>
      </c>
      <c r="B49" s="62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8">
        <f t="shared" si="32"/>
        <v>0</v>
      </c>
      <c r="W49" s="59"/>
      <c r="X49" s="58">
        <f t="shared" si="33"/>
        <v>0</v>
      </c>
      <c r="Y49" s="69"/>
      <c r="Z49" s="58">
        <f t="shared" si="34"/>
        <v>0</v>
      </c>
      <c r="AA49" s="58"/>
      <c r="AB49" s="58"/>
      <c r="AC49" s="65"/>
      <c r="AD49" s="60"/>
      <c r="AE49" s="60"/>
      <c r="AF49" s="60"/>
      <c r="AG49" s="65"/>
      <c r="AH49" s="65"/>
      <c r="AI49" s="60"/>
      <c r="AJ49" s="65"/>
      <c r="AK49" s="65"/>
      <c r="AL49" s="60"/>
      <c r="AM49" s="60"/>
      <c r="AN49" s="58"/>
      <c r="AO49" s="60"/>
    </row>
    <row r="50" spans="1:41" ht="15.75" hidden="1" customHeight="1" x14ac:dyDescent="0.25">
      <c r="A50" s="61">
        <v>15</v>
      </c>
      <c r="B50" s="62"/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8">
        <f t="shared" si="32"/>
        <v>0</v>
      </c>
      <c r="W50" s="59"/>
      <c r="X50" s="58">
        <f t="shared" si="33"/>
        <v>0</v>
      </c>
      <c r="Y50" s="69"/>
      <c r="Z50" s="58">
        <f t="shared" si="34"/>
        <v>0</v>
      </c>
      <c r="AA50" s="58"/>
      <c r="AB50" s="58"/>
      <c r="AC50" s="65"/>
      <c r="AD50" s="60"/>
      <c r="AE50" s="60"/>
      <c r="AF50" s="60"/>
      <c r="AG50" s="65"/>
      <c r="AH50" s="65"/>
      <c r="AI50" s="60"/>
      <c r="AJ50" s="65"/>
      <c r="AK50" s="65"/>
      <c r="AL50" s="60"/>
      <c r="AM50" s="60"/>
      <c r="AN50" s="58"/>
      <c r="AO50" s="60"/>
    </row>
    <row r="51" spans="1:41" ht="15.75" hidden="1" customHeight="1" x14ac:dyDescent="0.25">
      <c r="A51" s="61">
        <v>16</v>
      </c>
      <c r="B51" s="62"/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8">
        <f t="shared" si="32"/>
        <v>0</v>
      </c>
      <c r="W51" s="59"/>
      <c r="X51" s="58">
        <f t="shared" si="33"/>
        <v>0</v>
      </c>
      <c r="Y51" s="69"/>
      <c r="Z51" s="58">
        <f t="shared" si="34"/>
        <v>0</v>
      </c>
      <c r="AA51" s="58"/>
      <c r="AB51" s="58"/>
      <c r="AC51" s="65"/>
      <c r="AD51" s="60"/>
      <c r="AE51" s="60"/>
      <c r="AF51" s="60"/>
      <c r="AG51" s="65"/>
      <c r="AH51" s="65"/>
      <c r="AI51" s="60"/>
      <c r="AJ51" s="65"/>
      <c r="AK51" s="65"/>
      <c r="AL51" s="60"/>
      <c r="AM51" s="60"/>
      <c r="AN51" s="58"/>
      <c r="AO51" s="60"/>
    </row>
    <row r="52" spans="1:41" ht="15.75" hidden="1" customHeight="1" x14ac:dyDescent="0.25">
      <c r="A52" s="61">
        <v>17</v>
      </c>
      <c r="B52" s="62"/>
      <c r="C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8">
        <f t="shared" si="32"/>
        <v>0</v>
      </c>
      <c r="W52" s="59"/>
      <c r="X52" s="58">
        <f t="shared" si="33"/>
        <v>0</v>
      </c>
      <c r="Y52" s="69"/>
      <c r="Z52" s="58">
        <f t="shared" si="34"/>
        <v>0</v>
      </c>
      <c r="AA52" s="58"/>
      <c r="AB52" s="58"/>
      <c r="AC52" s="65"/>
      <c r="AD52" s="60"/>
      <c r="AE52" s="60"/>
      <c r="AF52" s="60"/>
      <c r="AG52" s="65"/>
      <c r="AH52" s="65"/>
      <c r="AI52" s="60"/>
      <c r="AJ52" s="65"/>
      <c r="AK52" s="65"/>
      <c r="AL52" s="60"/>
      <c r="AM52" s="60"/>
      <c r="AN52" s="58"/>
      <c r="AO52" s="60"/>
    </row>
    <row r="53" spans="1:41" ht="15.75" hidden="1" customHeight="1" x14ac:dyDescent="0.25">
      <c r="A53" s="61">
        <v>18</v>
      </c>
      <c r="B53" s="62"/>
      <c r="C53" s="6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8">
        <f t="shared" si="32"/>
        <v>0</v>
      </c>
      <c r="W53" s="59"/>
      <c r="X53" s="58">
        <f t="shared" si="33"/>
        <v>0</v>
      </c>
      <c r="Y53" s="69"/>
      <c r="Z53" s="58">
        <f t="shared" si="34"/>
        <v>0</v>
      </c>
      <c r="AA53" s="58"/>
      <c r="AB53" s="58"/>
      <c r="AC53" s="65"/>
      <c r="AD53" s="60"/>
      <c r="AE53" s="60"/>
      <c r="AF53" s="60"/>
      <c r="AG53" s="65"/>
      <c r="AH53" s="65"/>
      <c r="AI53" s="60"/>
      <c r="AJ53" s="65"/>
      <c r="AK53" s="65"/>
      <c r="AL53" s="60"/>
      <c r="AM53" s="60"/>
      <c r="AN53" s="58"/>
      <c r="AO53" s="60"/>
    </row>
    <row r="54" spans="1:41" ht="15.75" hidden="1" customHeight="1" x14ac:dyDescent="0.25">
      <c r="A54" s="61">
        <v>19</v>
      </c>
      <c r="B54" s="62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8">
        <f t="shared" si="32"/>
        <v>0</v>
      </c>
      <c r="W54" s="59"/>
      <c r="X54" s="58">
        <f t="shared" si="33"/>
        <v>0</v>
      </c>
      <c r="Y54" s="69"/>
      <c r="Z54" s="58">
        <f t="shared" si="34"/>
        <v>0</v>
      </c>
      <c r="AA54" s="58"/>
      <c r="AB54" s="58"/>
      <c r="AC54" s="65"/>
      <c r="AD54" s="60"/>
      <c r="AE54" s="60"/>
      <c r="AF54" s="60"/>
      <c r="AG54" s="65"/>
      <c r="AH54" s="65"/>
      <c r="AI54" s="60"/>
      <c r="AJ54" s="65"/>
      <c r="AK54" s="65"/>
      <c r="AL54" s="60"/>
      <c r="AM54" s="60"/>
      <c r="AN54" s="58"/>
      <c r="AO54" s="60"/>
    </row>
    <row r="55" spans="1:41" ht="16.5" hidden="1" customHeight="1" thickBot="1" x14ac:dyDescent="0.3">
      <c r="A55" s="198" t="s">
        <v>0</v>
      </c>
      <c r="B55" s="199"/>
      <c r="C55" s="70">
        <f>SUM(C36:C54)</f>
        <v>62443</v>
      </c>
      <c r="D55" s="70" t="s">
        <v>79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 t="s">
        <v>79</v>
      </c>
      <c r="U55" s="70"/>
      <c r="V55" s="70">
        <f>SUM(V36:V54)</f>
        <v>31748.3</v>
      </c>
      <c r="W55" s="70" t="s">
        <v>79</v>
      </c>
      <c r="X55" s="70">
        <f>SUM(X36:X54)</f>
        <v>7939</v>
      </c>
      <c r="Y55" s="70" t="s">
        <v>79</v>
      </c>
      <c r="Z55" s="70">
        <f>SUM(Z36:Z54)</f>
        <v>24177.177</v>
      </c>
      <c r="AA55" s="70"/>
      <c r="AB55" s="70"/>
      <c r="AC55" s="70">
        <f>SUM(AC36:AC54)</f>
        <v>148.69999999999999</v>
      </c>
      <c r="AD55" s="70" t="s">
        <v>79</v>
      </c>
      <c r="AE55" s="70" t="s">
        <v>79</v>
      </c>
      <c r="AF55" s="70" t="s">
        <v>79</v>
      </c>
      <c r="AG55" s="70">
        <f>SUM(AG36:AG54)</f>
        <v>148.69999999999999</v>
      </c>
      <c r="AH55" s="70"/>
      <c r="AI55" s="70" t="s">
        <v>79</v>
      </c>
      <c r="AJ55" s="70">
        <f>SUM(AJ36:AJ54)</f>
        <v>148.69999999999999</v>
      </c>
      <c r="AK55" s="70"/>
      <c r="AL55" s="70" t="s">
        <v>79</v>
      </c>
      <c r="AM55" s="70" t="s">
        <v>79</v>
      </c>
      <c r="AN55" s="70">
        <f>SUM(AN36:AN54)</f>
        <v>1270</v>
      </c>
      <c r="AO55" s="70" t="s">
        <v>79</v>
      </c>
    </row>
    <row r="56" spans="1:41" ht="12.75" hidden="1" customHeight="1" x14ac:dyDescent="0.2">
      <c r="C56" s="5"/>
      <c r="W56" s="5"/>
      <c r="Z56" s="5"/>
      <c r="AA56" s="5"/>
      <c r="AB56" s="5"/>
    </row>
    <row r="57" spans="1:41" x14ac:dyDescent="0.2">
      <c r="C57" s="9"/>
      <c r="W57" s="5"/>
      <c r="Z57" s="5"/>
      <c r="AA57" s="5"/>
      <c r="AB57" s="5"/>
    </row>
    <row r="58" spans="1:41" x14ac:dyDescent="0.2">
      <c r="Y58" s="1" t="s">
        <v>80</v>
      </c>
    </row>
    <row r="59" spans="1:41" x14ac:dyDescent="0.2">
      <c r="V59" s="1" t="s">
        <v>80</v>
      </c>
      <c r="X59" s="1" t="s">
        <v>80</v>
      </c>
      <c r="AC59" s="1" t="s">
        <v>80</v>
      </c>
      <c r="AG59" s="1" t="s">
        <v>80</v>
      </c>
      <c r="AJ59" s="1" t="s">
        <v>80</v>
      </c>
      <c r="AM59" s="5"/>
    </row>
    <row r="60" spans="1:41" x14ac:dyDescent="0.2">
      <c r="D60" s="5" t="s">
        <v>80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 t="s">
        <v>80</v>
      </c>
      <c r="U60" s="5"/>
      <c r="V60" s="5" t="s">
        <v>80</v>
      </c>
      <c r="X60" s="5"/>
    </row>
    <row r="61" spans="1:41" x14ac:dyDescent="0.2">
      <c r="D61" s="5" t="s">
        <v>80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 t="s">
        <v>80</v>
      </c>
      <c r="U61" s="5"/>
      <c r="V61" s="5" t="s">
        <v>80</v>
      </c>
      <c r="X61" s="1" t="s">
        <v>80</v>
      </c>
      <c r="Y61" s="1" t="s">
        <v>80</v>
      </c>
      <c r="AC61" s="1" t="s">
        <v>80</v>
      </c>
      <c r="AG61" s="1" t="s">
        <v>80</v>
      </c>
      <c r="AJ61" s="1" t="s">
        <v>80</v>
      </c>
      <c r="AN61" s="1" t="s">
        <v>80</v>
      </c>
    </row>
    <row r="62" spans="1:41" x14ac:dyDescent="0.2">
      <c r="D62" s="5" t="s">
        <v>80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 t="s">
        <v>80</v>
      </c>
      <c r="U62" s="5"/>
    </row>
    <row r="63" spans="1:41" x14ac:dyDescent="0.2">
      <c r="AM63" s="1" t="s">
        <v>80</v>
      </c>
    </row>
    <row r="64" spans="1:41" x14ac:dyDescent="0.2">
      <c r="AD64" s="1" t="s">
        <v>80</v>
      </c>
      <c r="AE64" s="1" t="s">
        <v>80</v>
      </c>
      <c r="AF64" s="1" t="s">
        <v>80</v>
      </c>
      <c r="AI64" s="1" t="s">
        <v>80</v>
      </c>
      <c r="AL64" s="1" t="s">
        <v>80</v>
      </c>
    </row>
    <row r="65" spans="30:42" x14ac:dyDescent="0.2">
      <c r="AD65" s="1" t="s">
        <v>80</v>
      </c>
      <c r="AE65" s="1" t="s">
        <v>80</v>
      </c>
      <c r="AF65" s="1" t="s">
        <v>80</v>
      </c>
      <c r="AI65" s="1" t="s">
        <v>80</v>
      </c>
      <c r="AL65" s="1" t="s">
        <v>80</v>
      </c>
      <c r="AM65" s="5" t="s">
        <v>80</v>
      </c>
    </row>
    <row r="67" spans="30:42" x14ac:dyDescent="0.2">
      <c r="AM67" s="1" t="s">
        <v>80</v>
      </c>
      <c r="AP67" s="1" t="s">
        <v>80</v>
      </c>
    </row>
    <row r="71" spans="30:42" x14ac:dyDescent="0.2">
      <c r="AP71" s="1" t="s">
        <v>80</v>
      </c>
    </row>
  </sheetData>
  <mergeCells count="73">
    <mergeCell ref="AR4:AR6"/>
    <mergeCell ref="V31:V33"/>
    <mergeCell ref="W31:W33"/>
    <mergeCell ref="X31:X33"/>
    <mergeCell ref="Y31:Y33"/>
    <mergeCell ref="AC31:AC33"/>
    <mergeCell ref="AD31:AD33"/>
    <mergeCell ref="AE31:AE33"/>
    <mergeCell ref="AF31:AF33"/>
    <mergeCell ref="AG31:AG33"/>
    <mergeCell ref="AI31:AI33"/>
    <mergeCell ref="AJ31:AJ33"/>
    <mergeCell ref="AL31:AL33"/>
    <mergeCell ref="AM31:AM33"/>
    <mergeCell ref="AN31:AN33"/>
    <mergeCell ref="AO31:AO33"/>
    <mergeCell ref="AM4:AM6"/>
    <mergeCell ref="AN4:AN6"/>
    <mergeCell ref="AO4:AO6"/>
    <mergeCell ref="AP4:AP6"/>
    <mergeCell ref="AQ4:AQ6"/>
    <mergeCell ref="AH4:AH6"/>
    <mergeCell ref="AI4:AI6"/>
    <mergeCell ref="AJ4:AJ6"/>
    <mergeCell ref="AK4:AK6"/>
    <mergeCell ref="AL4:AL6"/>
    <mergeCell ref="AC4:AC6"/>
    <mergeCell ref="AD4:AD6"/>
    <mergeCell ref="AE4:AE6"/>
    <mergeCell ref="AF4:AF6"/>
    <mergeCell ref="AG4:AG6"/>
    <mergeCell ref="AB31:AB33"/>
    <mergeCell ref="A34:B34"/>
    <mergeCell ref="A35:B35"/>
    <mergeCell ref="A55:B55"/>
    <mergeCell ref="T31:T33"/>
    <mergeCell ref="Z31:Z33"/>
    <mergeCell ref="AA31:AA33"/>
    <mergeCell ref="C31:C33"/>
    <mergeCell ref="D31:D33"/>
    <mergeCell ref="A8:B8"/>
    <mergeCell ref="A7:B7"/>
    <mergeCell ref="A24:B24"/>
    <mergeCell ref="A31:A33"/>
    <mergeCell ref="B31:B33"/>
    <mergeCell ref="U4:U6"/>
    <mergeCell ref="V4:V6"/>
    <mergeCell ref="A4:A6"/>
    <mergeCell ref="B4:B6"/>
    <mergeCell ref="C4:C6"/>
    <mergeCell ref="D4:D6"/>
    <mergeCell ref="E4:E6"/>
    <mergeCell ref="N4:N6"/>
    <mergeCell ref="O4:O6"/>
    <mergeCell ref="L4:L6"/>
    <mergeCell ref="M4:M6"/>
    <mergeCell ref="J4:J6"/>
    <mergeCell ref="AB4:AB6"/>
    <mergeCell ref="P4:P6"/>
    <mergeCell ref="K4:K6"/>
    <mergeCell ref="Q4:Q6"/>
    <mergeCell ref="F4:F6"/>
    <mergeCell ref="G4:G6"/>
    <mergeCell ref="H4:H6"/>
    <mergeCell ref="I4:I6"/>
    <mergeCell ref="AA4:AA6"/>
    <mergeCell ref="X4:X6"/>
    <mergeCell ref="Y4:Y6"/>
    <mergeCell ref="Z4:Z6"/>
    <mergeCell ref="S4:S6"/>
    <mergeCell ref="R4:R6"/>
    <mergeCell ref="W4:W6"/>
    <mergeCell ref="T4:T6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U27"/>
  <sheetViews>
    <sheetView topLeftCell="D1" zoomScale="115" zoomScaleNormal="115" zoomScaleSheetLayoutView="115" workbookViewId="0">
      <selection activeCell="E28" sqref="E28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5" width="18.6640625" style="1" customWidth="1"/>
    <col min="6" max="6" width="16.5" style="1" customWidth="1"/>
    <col min="7" max="10" width="15.1640625" style="1" customWidth="1"/>
    <col min="11" max="12" width="18.6640625" style="1" customWidth="1"/>
    <col min="13" max="13" width="19.83203125" style="1" customWidth="1"/>
    <col min="14" max="14" width="16.33203125" style="1" customWidth="1"/>
    <col min="15" max="15" width="13.6640625" style="1" customWidth="1"/>
    <col min="16" max="16" width="14" style="1" customWidth="1"/>
    <col min="17" max="17" width="23.33203125" style="1" customWidth="1"/>
    <col min="18" max="18" width="21.6640625" style="1" customWidth="1"/>
    <col min="19" max="19" width="22.5" style="1" customWidth="1"/>
    <col min="20" max="20" width="17.6640625" style="1" customWidth="1"/>
    <col min="21" max="21" width="19.6640625" style="1" customWidth="1"/>
    <col min="22" max="22" width="25.5" style="1" customWidth="1"/>
    <col min="23" max="16384" width="8.83203125" style="1"/>
  </cols>
  <sheetData>
    <row r="1" spans="1:21" s="81" customFormat="1" ht="18.75" x14ac:dyDescent="0.3">
      <c r="A1" s="78"/>
      <c r="B1" s="79"/>
      <c r="C1" s="80"/>
      <c r="O1" s="82"/>
      <c r="R1" s="83"/>
      <c r="S1" s="205"/>
      <c r="T1" s="205"/>
      <c r="U1" s="205"/>
    </row>
    <row r="2" spans="1:21" s="81" customFormat="1" ht="17.649999999999999" customHeight="1" x14ac:dyDescent="0.35">
      <c r="A2" s="167">
        <f ca="1">NOW()</f>
        <v>43719.475103588004</v>
      </c>
      <c r="B2" s="167"/>
      <c r="C2" s="110" t="s">
        <v>111</v>
      </c>
      <c r="D2" s="108"/>
      <c r="E2" s="108"/>
      <c r="F2" s="108"/>
      <c r="G2" s="108"/>
      <c r="H2" s="108"/>
      <c r="I2" s="108"/>
      <c r="J2" s="108"/>
      <c r="K2" s="108"/>
      <c r="L2" s="108"/>
      <c r="M2" s="88">
        <v>5000</v>
      </c>
      <c r="O2" s="86"/>
      <c r="P2" s="90"/>
      <c r="Q2" s="89"/>
      <c r="R2" s="85"/>
      <c r="S2" s="85"/>
      <c r="T2" s="85"/>
      <c r="U2" s="85"/>
    </row>
    <row r="3" spans="1:21" s="81" customFormat="1" ht="17.649999999999999" customHeight="1" x14ac:dyDescent="0.35">
      <c r="A3" s="107"/>
      <c r="B3" s="107"/>
      <c r="C3" s="110" t="s">
        <v>170</v>
      </c>
      <c r="D3" s="108"/>
      <c r="E3" s="108"/>
      <c r="F3" s="108"/>
      <c r="G3" s="108"/>
      <c r="H3" s="108"/>
      <c r="I3" s="108"/>
      <c r="J3" s="108"/>
      <c r="K3" s="108"/>
      <c r="L3" s="108"/>
      <c r="M3" s="86"/>
      <c r="N3" s="86"/>
      <c r="O3" s="86"/>
      <c r="P3" s="90"/>
      <c r="Q3" s="89"/>
      <c r="R3" s="85"/>
      <c r="S3" s="85"/>
      <c r="T3" s="85"/>
      <c r="U3" s="85"/>
    </row>
    <row r="4" spans="1:21" s="81" customFormat="1" ht="17.649999999999999" customHeight="1" x14ac:dyDescent="0.35">
      <c r="A4" s="107"/>
      <c r="B4" s="107"/>
      <c r="C4" s="110" t="s">
        <v>112</v>
      </c>
      <c r="D4" s="108"/>
      <c r="E4" s="108"/>
      <c r="F4" s="108"/>
      <c r="G4" s="108"/>
      <c r="H4" s="108"/>
      <c r="I4" s="108"/>
      <c r="J4" s="108"/>
      <c r="K4" s="108"/>
      <c r="L4" s="108"/>
      <c r="M4" s="86"/>
      <c r="N4" s="86"/>
      <c r="O4" s="86"/>
      <c r="P4" s="90"/>
      <c r="Q4" s="89"/>
      <c r="R4" s="85"/>
      <c r="S4" s="85"/>
      <c r="T4" s="85"/>
      <c r="U4" s="85"/>
    </row>
    <row r="5" spans="1:21" s="81" customFormat="1" ht="17.649999999999999" customHeight="1" x14ac:dyDescent="0.35">
      <c r="A5" s="107"/>
      <c r="B5" s="107"/>
      <c r="C5" s="110" t="s">
        <v>172</v>
      </c>
      <c r="D5" s="108"/>
      <c r="E5" s="108"/>
      <c r="F5" s="108"/>
      <c r="G5" s="108"/>
      <c r="H5" s="108"/>
      <c r="I5" s="108"/>
      <c r="J5" s="108"/>
      <c r="K5" s="108"/>
      <c r="L5" s="108"/>
      <c r="M5" s="86"/>
      <c r="N5" s="86"/>
      <c r="O5" s="86"/>
      <c r="P5" s="90"/>
      <c r="Q5" s="89"/>
      <c r="R5" s="85"/>
      <c r="S5" s="85"/>
      <c r="T5" s="85"/>
      <c r="U5" s="85"/>
    </row>
    <row r="6" spans="1:21" s="81" customFormat="1" ht="17.649999999999999" customHeight="1" x14ac:dyDescent="0.35">
      <c r="A6" s="2"/>
      <c r="B6" s="2"/>
      <c r="C6" s="110"/>
      <c r="D6" s="108"/>
      <c r="E6" s="108"/>
      <c r="F6" s="108"/>
      <c r="G6" s="108"/>
      <c r="H6" s="108"/>
      <c r="I6" s="108"/>
      <c r="J6" s="108"/>
      <c r="K6" s="108"/>
      <c r="L6" s="108"/>
      <c r="M6" s="86"/>
      <c r="N6" s="86"/>
      <c r="O6" s="86"/>
      <c r="P6" s="90"/>
      <c r="Q6" s="89"/>
      <c r="R6" s="85"/>
      <c r="S6" s="85"/>
      <c r="T6" s="85"/>
      <c r="U6" s="85"/>
    </row>
    <row r="7" spans="1:21" s="81" customFormat="1" ht="15.75" customHeight="1" x14ac:dyDescent="0.25">
      <c r="A7" s="2" t="s">
        <v>7</v>
      </c>
      <c r="B7" s="2"/>
      <c r="C7" s="109"/>
      <c r="D7" s="109"/>
      <c r="E7" s="109"/>
      <c r="F7" s="109"/>
      <c r="G7" s="109"/>
      <c r="H7" s="109"/>
      <c r="I7" s="109"/>
      <c r="J7" s="109"/>
      <c r="K7" s="109"/>
      <c r="L7" s="108"/>
      <c r="M7" s="90"/>
      <c r="N7" s="85"/>
      <c r="O7" s="90"/>
      <c r="P7" s="90"/>
      <c r="Q7" s="90"/>
      <c r="R7" s="90"/>
      <c r="S7" s="90"/>
      <c r="T7" s="90"/>
      <c r="U7" s="85"/>
    </row>
    <row r="8" spans="1:21" s="81" customFormat="1" ht="13.15" customHeight="1" x14ac:dyDescent="0.2">
      <c r="A8" s="168" t="s">
        <v>1</v>
      </c>
      <c r="B8" s="168" t="s">
        <v>2</v>
      </c>
      <c r="C8" s="169" t="s">
        <v>93</v>
      </c>
      <c r="D8" s="168" t="s">
        <v>99</v>
      </c>
      <c r="E8" s="168" t="s">
        <v>113</v>
      </c>
      <c r="F8" s="166" t="s">
        <v>103</v>
      </c>
      <c r="G8" s="168" t="s">
        <v>115</v>
      </c>
      <c r="H8" s="168" t="s">
        <v>100</v>
      </c>
      <c r="I8" s="168" t="s">
        <v>101</v>
      </c>
      <c r="J8" s="168" t="s">
        <v>102</v>
      </c>
      <c r="K8" s="166" t="s">
        <v>94</v>
      </c>
      <c r="L8" s="166" t="s">
        <v>165</v>
      </c>
      <c r="M8" s="203" t="s">
        <v>166</v>
      </c>
    </row>
    <row r="9" spans="1:21" s="81" customFormat="1" ht="13.15" customHeight="1" x14ac:dyDescent="0.2">
      <c r="A9" s="168"/>
      <c r="B9" s="168"/>
      <c r="C9" s="169"/>
      <c r="D9" s="168"/>
      <c r="E9" s="168"/>
      <c r="F9" s="166"/>
      <c r="G9" s="168"/>
      <c r="H9" s="168"/>
      <c r="I9" s="168"/>
      <c r="J9" s="168"/>
      <c r="K9" s="166"/>
      <c r="L9" s="166"/>
      <c r="M9" s="204"/>
    </row>
    <row r="10" spans="1:21" s="81" customFormat="1" ht="100.5" customHeight="1" x14ac:dyDescent="0.2">
      <c r="A10" s="168"/>
      <c r="B10" s="168"/>
      <c r="C10" s="169"/>
      <c r="D10" s="168"/>
      <c r="E10" s="168"/>
      <c r="F10" s="166"/>
      <c r="G10" s="168"/>
      <c r="H10" s="168"/>
      <c r="I10" s="168"/>
      <c r="J10" s="168"/>
      <c r="K10" s="166"/>
      <c r="L10" s="166"/>
      <c r="M10" s="171"/>
    </row>
    <row r="11" spans="1:21" s="91" customFormat="1" ht="27" customHeight="1" x14ac:dyDescent="0.2">
      <c r="A11" s="172" t="s">
        <v>27</v>
      </c>
      <c r="B11" s="173"/>
      <c r="C11" s="21">
        <v>1</v>
      </c>
      <c r="D11" s="21">
        <v>2</v>
      </c>
      <c r="E11" s="21">
        <v>3</v>
      </c>
      <c r="F11" s="120" t="s">
        <v>114</v>
      </c>
      <c r="G11" s="21">
        <v>5</v>
      </c>
      <c r="H11" s="21">
        <v>6</v>
      </c>
      <c r="I11" s="21">
        <v>7</v>
      </c>
      <c r="J11" s="21">
        <v>8</v>
      </c>
      <c r="K11" s="120" t="s">
        <v>116</v>
      </c>
      <c r="L11" s="151" t="s">
        <v>167</v>
      </c>
      <c r="M11" s="151" t="s">
        <v>169</v>
      </c>
    </row>
    <row r="12" spans="1:21" s="81" customFormat="1" ht="16.5" customHeight="1" x14ac:dyDescent="0.2">
      <c r="A12" s="174"/>
      <c r="B12" s="175"/>
      <c r="C12" s="21"/>
      <c r="D12" s="122"/>
      <c r="E12" s="122"/>
      <c r="F12" s="123"/>
      <c r="G12" s="122"/>
      <c r="H12" s="122"/>
      <c r="I12" s="122"/>
      <c r="J12" s="122"/>
      <c r="K12" s="123"/>
      <c r="L12" s="123"/>
      <c r="M12" s="99">
        <f>M2</f>
        <v>5000</v>
      </c>
    </row>
    <row r="13" spans="1:21" s="7" customFormat="1" ht="18" customHeight="1" x14ac:dyDescent="0.25">
      <c r="A13" s="102">
        <v>1</v>
      </c>
      <c r="B13" s="18" t="s">
        <v>30</v>
      </c>
      <c r="C13" s="117"/>
      <c r="D13" s="118"/>
      <c r="E13" s="118"/>
      <c r="F13" s="121">
        <f>SUM(C13:E13)</f>
        <v>0</v>
      </c>
      <c r="G13" s="118"/>
      <c r="H13" s="118"/>
      <c r="I13" s="118"/>
      <c r="J13" s="118"/>
      <c r="K13" s="17">
        <f t="shared" ref="K13:K23" si="0">SUM(G13:J13)</f>
        <v>0</v>
      </c>
      <c r="L13" s="17">
        <f>IF(F13&lt;K13,K13-F13,0)</f>
        <v>0</v>
      </c>
      <c r="M13" s="17" t="e">
        <f>ROUND(L13/$L$24*$M$12,0)</f>
        <v>#DIV/0!</v>
      </c>
    </row>
    <row r="14" spans="1:21" s="7" customFormat="1" ht="16.5" x14ac:dyDescent="0.25">
      <c r="A14" s="103">
        <v>2</v>
      </c>
      <c r="B14" s="18" t="s">
        <v>31</v>
      </c>
      <c r="C14" s="117"/>
      <c r="D14" s="118"/>
      <c r="E14" s="118"/>
      <c r="F14" s="121">
        <f t="shared" ref="F14:F23" si="1">SUM(C14:E14)</f>
        <v>0</v>
      </c>
      <c r="G14" s="118"/>
      <c r="H14" s="118"/>
      <c r="I14" s="118"/>
      <c r="J14" s="118"/>
      <c r="K14" s="17">
        <f t="shared" si="0"/>
        <v>0</v>
      </c>
      <c r="L14" s="17">
        <f t="shared" ref="L14:L23" si="2">IF(F14&lt;K14,K14-F14,0)</f>
        <v>0</v>
      </c>
      <c r="M14" s="17" t="e">
        <f t="shared" ref="M14:M23" si="3">ROUND(L14/$L$24*$M$12,0)</f>
        <v>#DIV/0!</v>
      </c>
    </row>
    <row r="15" spans="1:21" s="7" customFormat="1" ht="16.5" customHeight="1" x14ac:dyDescent="0.25">
      <c r="A15" s="103">
        <v>3</v>
      </c>
      <c r="B15" s="18" t="s">
        <v>32</v>
      </c>
      <c r="C15" s="117"/>
      <c r="D15" s="118"/>
      <c r="E15" s="118"/>
      <c r="F15" s="121">
        <f t="shared" si="1"/>
        <v>0</v>
      </c>
      <c r="G15" s="118"/>
      <c r="H15" s="118"/>
      <c r="I15" s="118"/>
      <c r="J15" s="118"/>
      <c r="K15" s="17">
        <f t="shared" si="0"/>
        <v>0</v>
      </c>
      <c r="L15" s="17">
        <f t="shared" si="2"/>
        <v>0</v>
      </c>
      <c r="M15" s="17" t="e">
        <f t="shared" si="3"/>
        <v>#DIV/0!</v>
      </c>
    </row>
    <row r="16" spans="1:21" s="7" customFormat="1" ht="16.5" customHeight="1" x14ac:dyDescent="0.25">
      <c r="A16" s="102">
        <v>4</v>
      </c>
      <c r="B16" s="18" t="s">
        <v>33</v>
      </c>
      <c r="C16" s="117"/>
      <c r="D16" s="118"/>
      <c r="E16" s="118"/>
      <c r="F16" s="121">
        <f t="shared" si="1"/>
        <v>0</v>
      </c>
      <c r="G16" s="118"/>
      <c r="H16" s="118"/>
      <c r="I16" s="118"/>
      <c r="J16" s="118"/>
      <c r="K16" s="17">
        <f t="shared" si="0"/>
        <v>0</v>
      </c>
      <c r="L16" s="17">
        <f t="shared" si="2"/>
        <v>0</v>
      </c>
      <c r="M16" s="17" t="e">
        <f t="shared" si="3"/>
        <v>#DIV/0!</v>
      </c>
    </row>
    <row r="17" spans="1:21" s="7" customFormat="1" ht="16.5" customHeight="1" x14ac:dyDescent="0.25">
      <c r="A17" s="103">
        <v>5</v>
      </c>
      <c r="B17" s="18" t="s">
        <v>34</v>
      </c>
      <c r="C17" s="117"/>
      <c r="D17" s="118"/>
      <c r="E17" s="118"/>
      <c r="F17" s="121">
        <f t="shared" si="1"/>
        <v>0</v>
      </c>
      <c r="G17" s="118"/>
      <c r="H17" s="118"/>
      <c r="I17" s="118"/>
      <c r="J17" s="118"/>
      <c r="K17" s="17">
        <f t="shared" si="0"/>
        <v>0</v>
      </c>
      <c r="L17" s="17">
        <f t="shared" si="2"/>
        <v>0</v>
      </c>
      <c r="M17" s="17" t="e">
        <f t="shared" si="3"/>
        <v>#DIV/0!</v>
      </c>
    </row>
    <row r="18" spans="1:21" s="7" customFormat="1" ht="16.5" customHeight="1" x14ac:dyDescent="0.25">
      <c r="A18" s="103">
        <v>6</v>
      </c>
      <c r="B18" s="18" t="s">
        <v>35</v>
      </c>
      <c r="C18" s="117"/>
      <c r="D18" s="118"/>
      <c r="E18" s="118"/>
      <c r="F18" s="121">
        <f t="shared" si="1"/>
        <v>0</v>
      </c>
      <c r="G18" s="118"/>
      <c r="H18" s="118"/>
      <c r="I18" s="118"/>
      <c r="J18" s="118"/>
      <c r="K18" s="17">
        <f t="shared" si="0"/>
        <v>0</v>
      </c>
      <c r="L18" s="17">
        <f t="shared" si="2"/>
        <v>0</v>
      </c>
      <c r="M18" s="17" t="e">
        <f t="shared" si="3"/>
        <v>#DIV/0!</v>
      </c>
    </row>
    <row r="19" spans="1:21" s="7" customFormat="1" ht="16.5" customHeight="1" x14ac:dyDescent="0.25">
      <c r="A19" s="102">
        <v>7</v>
      </c>
      <c r="B19" s="18" t="s">
        <v>36</v>
      </c>
      <c r="C19" s="117"/>
      <c r="D19" s="118"/>
      <c r="E19" s="118"/>
      <c r="F19" s="121">
        <f t="shared" si="1"/>
        <v>0</v>
      </c>
      <c r="G19" s="118"/>
      <c r="H19" s="118"/>
      <c r="I19" s="118"/>
      <c r="J19" s="118"/>
      <c r="K19" s="17">
        <f t="shared" si="0"/>
        <v>0</v>
      </c>
      <c r="L19" s="17">
        <f t="shared" si="2"/>
        <v>0</v>
      </c>
      <c r="M19" s="17" t="e">
        <f t="shared" si="3"/>
        <v>#DIV/0!</v>
      </c>
    </row>
    <row r="20" spans="1:21" s="7" customFormat="1" ht="16.5" customHeight="1" x14ac:dyDescent="0.25">
      <c r="A20" s="103">
        <v>8</v>
      </c>
      <c r="B20" s="18" t="s">
        <v>37</v>
      </c>
      <c r="C20" s="117"/>
      <c r="D20" s="118"/>
      <c r="E20" s="118"/>
      <c r="F20" s="121">
        <f t="shared" si="1"/>
        <v>0</v>
      </c>
      <c r="G20" s="118"/>
      <c r="H20" s="118"/>
      <c r="I20" s="118"/>
      <c r="J20" s="118"/>
      <c r="K20" s="17">
        <f t="shared" si="0"/>
        <v>0</v>
      </c>
      <c r="L20" s="17">
        <f t="shared" si="2"/>
        <v>0</v>
      </c>
      <c r="M20" s="17" t="e">
        <f t="shared" si="3"/>
        <v>#DIV/0!</v>
      </c>
    </row>
    <row r="21" spans="1:21" s="7" customFormat="1" ht="16.5" customHeight="1" x14ac:dyDescent="0.25">
      <c r="A21" s="103">
        <v>9</v>
      </c>
      <c r="B21" s="18" t="s">
        <v>38</v>
      </c>
      <c r="C21" s="117"/>
      <c r="D21" s="118"/>
      <c r="E21" s="118"/>
      <c r="F21" s="121">
        <f t="shared" si="1"/>
        <v>0</v>
      </c>
      <c r="G21" s="118"/>
      <c r="H21" s="118"/>
      <c r="I21" s="118"/>
      <c r="J21" s="118"/>
      <c r="K21" s="17">
        <f t="shared" si="0"/>
        <v>0</v>
      </c>
      <c r="L21" s="17">
        <f t="shared" si="2"/>
        <v>0</v>
      </c>
      <c r="M21" s="17" t="e">
        <f t="shared" si="3"/>
        <v>#DIV/0!</v>
      </c>
    </row>
    <row r="22" spans="1:21" s="7" customFormat="1" ht="16.5" customHeight="1" x14ac:dyDescent="0.25">
      <c r="A22" s="102">
        <v>10</v>
      </c>
      <c r="B22" s="18" t="s">
        <v>39</v>
      </c>
      <c r="C22" s="117"/>
      <c r="D22" s="118"/>
      <c r="E22" s="118"/>
      <c r="F22" s="121">
        <f t="shared" si="1"/>
        <v>0</v>
      </c>
      <c r="G22" s="118"/>
      <c r="H22" s="118"/>
      <c r="I22" s="118"/>
      <c r="J22" s="118"/>
      <c r="K22" s="17">
        <f t="shared" si="0"/>
        <v>0</v>
      </c>
      <c r="L22" s="17">
        <f t="shared" si="2"/>
        <v>0</v>
      </c>
      <c r="M22" s="17" t="e">
        <f t="shared" si="3"/>
        <v>#DIV/0!</v>
      </c>
    </row>
    <row r="23" spans="1:21" s="7" customFormat="1" ht="16.5" customHeight="1" x14ac:dyDescent="0.25">
      <c r="A23" s="103">
        <v>11</v>
      </c>
      <c r="B23" s="18" t="s">
        <v>40</v>
      </c>
      <c r="C23" s="117"/>
      <c r="D23" s="118"/>
      <c r="E23" s="118"/>
      <c r="F23" s="121">
        <f t="shared" si="1"/>
        <v>0</v>
      </c>
      <c r="G23" s="118"/>
      <c r="H23" s="118"/>
      <c r="I23" s="118"/>
      <c r="J23" s="118"/>
      <c r="K23" s="17">
        <f t="shared" si="0"/>
        <v>0</v>
      </c>
      <c r="L23" s="17">
        <f t="shared" si="2"/>
        <v>0</v>
      </c>
      <c r="M23" s="17" t="e">
        <f t="shared" si="3"/>
        <v>#DIV/0!</v>
      </c>
    </row>
    <row r="24" spans="1:21" s="7" customFormat="1" ht="16.5" x14ac:dyDescent="0.25">
      <c r="A24" s="170" t="s">
        <v>0</v>
      </c>
      <c r="B24" s="170"/>
      <c r="C24" s="119">
        <f>SUM(C13:C23)</f>
        <v>0</v>
      </c>
      <c r="D24" s="119">
        <f t="shared" ref="D24:M24" si="4">SUM(D13:D23)</f>
        <v>0</v>
      </c>
      <c r="E24" s="119">
        <f t="shared" si="4"/>
        <v>0</v>
      </c>
      <c r="F24" s="119">
        <f t="shared" si="4"/>
        <v>0</v>
      </c>
      <c r="G24" s="119">
        <f t="shared" si="4"/>
        <v>0</v>
      </c>
      <c r="H24" s="119">
        <f t="shared" si="4"/>
        <v>0</v>
      </c>
      <c r="I24" s="119">
        <f t="shared" si="4"/>
        <v>0</v>
      </c>
      <c r="J24" s="119">
        <f t="shared" si="4"/>
        <v>0</v>
      </c>
      <c r="K24" s="112">
        <f t="shared" si="4"/>
        <v>0</v>
      </c>
      <c r="L24" s="112">
        <f t="shared" si="4"/>
        <v>0</v>
      </c>
      <c r="M24" s="112" t="e">
        <f t="shared" si="4"/>
        <v>#DIV/0!</v>
      </c>
    </row>
    <row r="25" spans="1:2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2"/>
      <c r="O25" s="7"/>
      <c r="P25" s="7"/>
      <c r="Q25" s="7"/>
      <c r="R25" s="7"/>
      <c r="S25" s="12"/>
      <c r="T25" s="12"/>
      <c r="U25" s="7"/>
    </row>
    <row r="26" spans="1:2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1"/>
      <c r="Q26" s="7"/>
      <c r="R26" s="7"/>
      <c r="S26" s="7"/>
      <c r="T26" s="7"/>
      <c r="U26" s="7"/>
    </row>
    <row r="27" spans="1:21" ht="12.75" customHeight="1" x14ac:dyDescent="0.2"/>
  </sheetData>
  <mergeCells count="18">
    <mergeCell ref="M8:M10"/>
    <mergeCell ref="S1:U1"/>
    <mergeCell ref="A2:B2"/>
    <mergeCell ref="A8:A10"/>
    <mergeCell ref="B8:B10"/>
    <mergeCell ref="C8:C10"/>
    <mergeCell ref="D8:D10"/>
    <mergeCell ref="K8:K10"/>
    <mergeCell ref="I8:I10"/>
    <mergeCell ref="J8:J10"/>
    <mergeCell ref="H8:H10"/>
    <mergeCell ref="E8:E10"/>
    <mergeCell ref="L8:L10"/>
    <mergeCell ref="A11:B11"/>
    <mergeCell ref="A12:B12"/>
    <mergeCell ref="A24:B24"/>
    <mergeCell ref="F8:F10"/>
    <mergeCell ref="G8:G10"/>
  </mergeCells>
  <pageMargins left="0.5" right="0.15748031496062992" top="1.1200000000000001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Район ФФПП 2019</vt:lpstr>
      <vt:lpstr>ИНП2020</vt:lpstr>
      <vt:lpstr>ИБР2019</vt:lpstr>
      <vt:lpstr>Район сбалансир 2019</vt:lpstr>
      <vt:lpstr>ИБР2019!Заголовки_для_печати</vt:lpstr>
      <vt:lpstr>ИНП2020!Заголовки_для_печати</vt:lpstr>
      <vt:lpstr>'Район сбалансир 2019'!Заголовки_для_печати</vt:lpstr>
      <vt:lpstr>'Район ФФПП 2019'!Заголовки_для_печати</vt:lpstr>
      <vt:lpstr>ИБР2019!Область_печати</vt:lpstr>
      <vt:lpstr>ИНП2020!Область_печати</vt:lpstr>
      <vt:lpstr>'Район сбалансир 2019'!Область_печати</vt:lpstr>
      <vt:lpstr>'Район ФФПП 2019'!Область_печати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Елена Степанова</cp:lastModifiedBy>
  <cp:lastPrinted>2019-09-11T07:58:18Z</cp:lastPrinted>
  <dcterms:created xsi:type="dcterms:W3CDTF">1996-11-09T08:12:45Z</dcterms:created>
  <dcterms:modified xsi:type="dcterms:W3CDTF">2019-09-11T09:31:21Z</dcterms:modified>
</cp:coreProperties>
</file>