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0" windowWidth="18555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Лист1!$A$1:$M$131</definedName>
  </definedNames>
  <calcPr calcId="144525"/>
</workbook>
</file>

<file path=xl/calcChain.xml><?xml version="1.0" encoding="utf-8"?>
<calcChain xmlns="http://schemas.openxmlformats.org/spreadsheetml/2006/main">
  <c r="G94" i="1"/>
  <c r="H94"/>
  <c r="J94"/>
  <c r="K94"/>
  <c r="L94"/>
  <c r="M94"/>
  <c r="I94"/>
  <c r="H95"/>
  <c r="I95"/>
  <c r="J95"/>
  <c r="K95"/>
  <c r="L95"/>
  <c r="M95"/>
  <c r="G95"/>
  <c r="M15" l="1"/>
  <c r="L15"/>
  <c r="K15"/>
  <c r="J15"/>
  <c r="I15"/>
  <c r="H15"/>
  <c r="G15"/>
  <c r="F15"/>
  <c r="F14"/>
  <c r="E15"/>
  <c r="E14"/>
  <c r="K38" l="1"/>
  <c r="H37" l="1"/>
  <c r="I111" l="1"/>
  <c r="M14" l="1"/>
  <c r="L14"/>
  <c r="K14"/>
  <c r="J14"/>
  <c r="I14"/>
  <c r="H14"/>
  <c r="F91" l="1"/>
  <c r="E91"/>
  <c r="F79" l="1"/>
  <c r="F74"/>
  <c r="F77"/>
  <c r="F78"/>
  <c r="F75"/>
  <c r="F73"/>
  <c r="F71"/>
  <c r="F70"/>
  <c r="D49"/>
  <c r="F49"/>
  <c r="G14"/>
  <c r="G37" l="1"/>
  <c r="I37"/>
  <c r="J37"/>
  <c r="K37"/>
  <c r="L37"/>
  <c r="M37"/>
  <c r="F37"/>
  <c r="I45" l="1"/>
  <c r="H45"/>
  <c r="G45"/>
  <c r="F45"/>
  <c r="I42"/>
  <c r="H42"/>
  <c r="G42"/>
  <c r="J38"/>
  <c r="I38"/>
  <c r="H38"/>
  <c r="G38"/>
  <c r="G106"/>
  <c r="H106" l="1"/>
  <c r="I106"/>
  <c r="J106"/>
  <c r="L106"/>
  <c r="M106"/>
  <c r="K106"/>
  <c r="G104"/>
  <c r="F104"/>
  <c r="M121"/>
  <c r="L121"/>
  <c r="K121"/>
  <c r="J121"/>
  <c r="I121"/>
  <c r="H121"/>
  <c r="G121"/>
  <c r="F121"/>
  <c r="F67"/>
  <c r="G49" l="1"/>
  <c r="F38" l="1"/>
  <c r="F42"/>
  <c r="G100" l="1"/>
  <c r="I100"/>
  <c r="H100"/>
  <c r="K100"/>
  <c r="J100"/>
  <c r="M100"/>
  <c r="L100"/>
  <c r="M88"/>
  <c r="L88"/>
  <c r="K88"/>
  <c r="J88"/>
  <c r="I88"/>
  <c r="H88"/>
  <c r="G88"/>
  <c r="F88"/>
  <c r="M114" l="1"/>
  <c r="L114"/>
  <c r="K114"/>
  <c r="J114"/>
  <c r="I114"/>
  <c r="H114"/>
  <c r="G114"/>
  <c r="F114"/>
  <c r="M111"/>
  <c r="L111"/>
  <c r="K111"/>
  <c r="J111"/>
  <c r="H111"/>
  <c r="G111"/>
  <c r="F111"/>
  <c r="G90"/>
  <c r="H90"/>
  <c r="I90"/>
  <c r="J90"/>
  <c r="K90"/>
  <c r="L90"/>
  <c r="M90"/>
  <c r="G75" l="1"/>
  <c r="G71" s="1"/>
  <c r="G66" s="1"/>
  <c r="G67" s="1"/>
  <c r="G34"/>
  <c r="I34" s="1"/>
  <c r="K34" s="1"/>
  <c r="M34" s="1"/>
  <c r="G32"/>
  <c r="I32" s="1"/>
  <c r="K32" s="1"/>
  <c r="M32" s="1"/>
  <c r="G30"/>
  <c r="I30" s="1"/>
  <c r="K30" s="1"/>
  <c r="M30" s="1"/>
  <c r="G25"/>
  <c r="I25" s="1"/>
  <c r="K25" s="1"/>
  <c r="M25" s="1"/>
  <c r="H34" l="1"/>
  <c r="J34" s="1"/>
  <c r="L34" s="1"/>
  <c r="H32"/>
  <c r="J32" s="1"/>
  <c r="L32" s="1"/>
  <c r="H30"/>
  <c r="J30" s="1"/>
  <c r="L30" s="1"/>
  <c r="H25"/>
  <c r="J25" s="1"/>
  <c r="L25" s="1"/>
  <c r="E35"/>
  <c r="F35"/>
  <c r="F33"/>
  <c r="F31"/>
  <c r="F26"/>
  <c r="K20"/>
  <c r="L20"/>
  <c r="M20"/>
  <c r="I20"/>
  <c r="J20"/>
  <c r="H20"/>
  <c r="G20"/>
  <c r="G23"/>
  <c r="H23"/>
  <c r="I23"/>
  <c r="J23"/>
  <c r="K23"/>
  <c r="L23"/>
  <c r="M23"/>
  <c r="C14"/>
  <c r="C15"/>
  <c r="C20"/>
  <c r="C23"/>
  <c r="E88"/>
  <c r="E100"/>
  <c r="H118" l="1"/>
  <c r="I118"/>
  <c r="G118"/>
  <c r="E118"/>
  <c r="E121"/>
  <c r="E114"/>
  <c r="E111"/>
  <c r="K118" l="1"/>
  <c r="L104"/>
  <c r="H104"/>
  <c r="M104"/>
  <c r="I104"/>
  <c r="E104"/>
  <c r="J104"/>
  <c r="K104"/>
  <c r="M49" l="1"/>
  <c r="L49"/>
  <c r="K49"/>
  <c r="J49"/>
  <c r="I49"/>
  <c r="H49"/>
  <c r="E49"/>
  <c r="M45"/>
  <c r="L45"/>
  <c r="K45"/>
  <c r="J45"/>
  <c r="M42"/>
  <c r="L42"/>
  <c r="K42"/>
  <c r="J42"/>
  <c r="M38"/>
  <c r="L38"/>
  <c r="E45" l="1"/>
  <c r="E42"/>
  <c r="E33"/>
  <c r="E31"/>
  <c r="E26"/>
  <c r="C37" l="1"/>
  <c r="C75"/>
  <c r="C71" s="1"/>
  <c r="C90"/>
  <c r="C104"/>
  <c r="C106" s="1"/>
  <c r="C108" s="1"/>
  <c r="D90" l="1"/>
  <c r="H75" l="1"/>
  <c r="H71" s="1"/>
  <c r="H66" s="1"/>
  <c r="H67" s="1"/>
  <c r="I75"/>
  <c r="I71" s="1"/>
  <c r="J75"/>
  <c r="J71" s="1"/>
  <c r="K75"/>
  <c r="K71" s="1"/>
  <c r="L75"/>
  <c r="L71" s="1"/>
  <c r="M75"/>
  <c r="M71" s="1"/>
  <c r="D75"/>
  <c r="D71" l="1"/>
  <c r="D66" s="1"/>
  <c r="E67" s="1"/>
  <c r="D37"/>
  <c r="E38" s="1"/>
  <c r="D88" l="1"/>
  <c r="D104" l="1"/>
  <c r="D106" s="1"/>
  <c r="D108" s="1"/>
  <c r="D121"/>
  <c r="J118"/>
  <c r="D118"/>
  <c r="L118" l="1"/>
  <c r="M118"/>
  <c r="D45"/>
  <c r="D42"/>
  <c r="D38"/>
  <c r="D114" l="1"/>
  <c r="D111"/>
  <c r="D67" l="1"/>
  <c r="D35" l="1"/>
  <c r="D23" l="1"/>
  <c r="D20"/>
  <c r="D33"/>
  <c r="D31"/>
  <c r="D26"/>
  <c r="D15" l="1"/>
  <c r="D14"/>
  <c r="M66"/>
  <c r="K66"/>
  <c r="J66"/>
  <c r="J67" s="1"/>
  <c r="L66"/>
  <c r="I66"/>
  <c r="L67" l="1"/>
  <c r="M67"/>
  <c r="K67"/>
  <c r="I67"/>
</calcChain>
</file>

<file path=xl/sharedStrings.xml><?xml version="1.0" encoding="utf-8"?>
<sst xmlns="http://schemas.openxmlformats.org/spreadsheetml/2006/main" count="228" uniqueCount="146">
  <si>
    <t>в том числе: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</si>
  <si>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</si>
  <si>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</si>
  <si>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</si>
  <si>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</si>
  <si>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</si>
  <si>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</si>
  <si>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</si>
  <si>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</si>
  <si>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дкл</t>
  </si>
  <si>
    <t>Пиво, кроме отходов пивоварения (включая напитки, изготовляемые на основе пива (пиваные напитки))</t>
  </si>
  <si>
    <t>Бумага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</si>
  <si>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</si>
  <si>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</si>
  <si>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</si>
  <si>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</si>
  <si>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</si>
  <si>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</si>
  <si>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</si>
  <si>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</si>
  <si>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</si>
  <si>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</si>
  <si>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</si>
  <si>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</si>
  <si>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Показатели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</si>
  <si>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</si>
  <si>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</si>
  <si>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</si>
  <si>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</si>
  <si>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</si>
  <si>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</si>
  <si>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</si>
  <si>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</si>
  <si>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</si>
  <si>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</si>
  <si>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</si>
  <si>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</si>
  <si>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</si>
  <si>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</si>
  <si>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</si>
  <si>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</si>
  <si>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</si>
  <si>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</si>
  <si>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</si>
  <si>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</si>
  <si>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</si>
  <si>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</si>
  <si>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</si>
  <si>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</si>
  <si>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</si>
  <si>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</si>
  <si>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</si>
  <si>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</si>
  <si>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</si>
  <si>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</si>
  <si>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</si>
  <si>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</si>
  <si>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</si>
  <si>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</si>
  <si>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</si>
  <si>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</si>
  <si>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</si>
  <si>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</si>
  <si>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</si>
  <si>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</si>
  <si>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</si>
  <si>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</si>
  <si>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</si>
  <si>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</si>
  <si>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</si>
  <si>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</si>
  <si>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</si>
  <si>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</si>
  <si>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</si>
  <si>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</si>
  <si>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</si>
  <si>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</si>
  <si>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</si>
  <si>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</si>
  <si>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</si>
  <si>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</si>
  <si>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</si>
  <si>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</si>
  <si>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</si>
  <si>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</si>
  <si>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</si>
  <si>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</si>
  <si>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</si>
  <si>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</si>
  <si>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</si>
  <si>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</si>
  <si>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</si>
  <si>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</si>
  <si>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</si>
  <si>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</si>
  <si>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</si>
  <si>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</si>
  <si>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</si>
  <si>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</si>
  <si>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</si>
  <si>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</si>
  <si>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</si>
  <si>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</si>
  <si>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</si>
  <si>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</si>
  <si>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</si>
  <si>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</si>
  <si>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</si>
  <si>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</si>
  <si>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</si>
  <si>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</si>
  <si>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</si>
  <si>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</si>
  <si>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</si>
  <si>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</si>
  <si>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</si>
  <si>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</si>
  <si>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</si>
  <si>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</si>
  <si>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</si>
  <si>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</si>
  <si>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</si>
  <si>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</si>
  <si>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</si>
  <si>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</si>
  <si>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</si>
  <si>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 xml:space="preserve">    заемные средства других организаций</t>
  </si>
  <si>
    <t>Прочие</t>
  </si>
  <si>
    <t xml:space="preserve"> куб. м</t>
  </si>
  <si>
    <t xml:space="preserve">Безвозмездные поступления </t>
  </si>
  <si>
    <t>Производство продукции растениеводства</t>
  </si>
  <si>
    <t>индекс производства продукции растениеводства</t>
  </si>
  <si>
    <t>Приложение</t>
  </si>
  <si>
    <t>к постановлению администрации Брянского района</t>
  </si>
  <si>
    <t>от _______________________№_________</t>
  </si>
  <si>
    <t>Единицы измерения</t>
  </si>
  <si>
    <t xml:space="preserve">Заместитель главы администрации </t>
  </si>
  <si>
    <t>Брянского района - начальник</t>
  </si>
  <si>
    <t>финансового управления</t>
  </si>
  <si>
    <t>С.Н. Воронцова</t>
  </si>
  <si>
    <t>42.2</t>
  </si>
  <si>
    <t>2024                оценка</t>
  </si>
  <si>
    <t>Предварительный прогноз социально-экономического развития Брянского муниципального района Брянской области на 2025 год и на плановый период 2026 и 2027 годов</t>
  </si>
  <si>
    <t>ГЭК- 2 очередь- 2024г., 3 очередь -2025-2026г.</t>
  </si>
  <si>
    <t>ГЭК- 2 очередь- 2024г., 3 очередь -2025-2026г., ТК Журиничи -2025г.</t>
  </si>
  <si>
    <t>Заготовка и переработка древесины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</si>
</sst>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13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8" fillId="0" borderId="0" xfId="0" applyFont="1"/>
    <xf numFmtId="0" fontId="1" fillId="0" borderId="7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 shrinkToFit="1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 shrinkToFi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shrinkToFit="1"/>
    </xf>
    <xf numFmtId="165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 shrinkToFit="1"/>
    </xf>
    <xf numFmtId="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3" borderId="1" xfId="0" applyFont="1" applyFill="1" applyBorder="1" applyAlignment="1" applyProtection="1">
      <alignment horizontal="left" vertical="center" wrapText="1" shrinkToFit="1"/>
    </xf>
    <xf numFmtId="0" fontId="5" fillId="3" borderId="1" xfId="0" applyFont="1" applyFill="1" applyBorder="1" applyAlignment="1" applyProtection="1">
      <alignment horizontal="left" vertical="center" wrapText="1" shrinkToFit="1"/>
    </xf>
    <xf numFmtId="164" fontId="10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" xfId="0" applyNumberFormat="1" applyFont="1" applyFill="1" applyBorder="1" applyAlignment="1" applyProtection="1">
      <alignment horizontal="center" vertical="center" wrapText="1"/>
    </xf>
    <xf numFmtId="3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>
      <alignment horizontal="center" vertical="center" wrapText="1" shrinkToFit="1"/>
    </xf>
    <xf numFmtId="4" fontId="10" fillId="3" borderId="1" xfId="0" applyNumberFormat="1" applyFont="1" applyFill="1" applyBorder="1" applyAlignment="1" applyProtection="1">
      <alignment horizontal="center" vertical="center" wrapText="1"/>
    </xf>
    <xf numFmtId="4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" xfId="0" applyNumberFormat="1" applyFont="1" applyFill="1" applyBorder="1" applyAlignment="1">
      <alignment horizontal="right" vertical="center" wrapText="1" shrinkToFit="1"/>
    </xf>
    <xf numFmtId="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1" xfId="0" applyNumberFormat="1" applyFont="1" applyFill="1" applyBorder="1" applyAlignment="1" applyProtection="1">
      <alignment horizontal="right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1" fontId="10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 shrinkToFi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27"/>
  <sheetViews>
    <sheetView tabSelected="1" view="pageBreakPreview" topLeftCell="A91" zoomScale="70" zoomScaleNormal="70" zoomScaleSheetLayoutView="70" workbookViewId="0">
      <selection activeCell="N104" sqref="N104"/>
    </sheetView>
  </sheetViews>
  <sheetFormatPr defaultRowHeight="12.75"/>
  <cols>
    <col min="1" max="1" width="78.5703125" customWidth="1"/>
    <col min="2" max="2" width="41.28515625" customWidth="1"/>
    <col min="3" max="4" width="16.7109375" bestFit="1" customWidth="1"/>
    <col min="5" max="7" width="16.28515625" customWidth="1"/>
    <col min="8" max="8" width="16.7109375" customWidth="1"/>
    <col min="9" max="9" width="17.7109375" customWidth="1"/>
    <col min="10" max="10" width="20.5703125" customWidth="1"/>
    <col min="11" max="11" width="17.5703125" customWidth="1"/>
    <col min="12" max="12" width="19.42578125" customWidth="1"/>
    <col min="13" max="13" width="18.85546875" customWidth="1"/>
    <col min="14" max="14" width="79.28515625" customWidth="1"/>
  </cols>
  <sheetData>
    <row r="2" spans="1:13" ht="15">
      <c r="K2" s="5"/>
      <c r="L2" s="69" t="s">
        <v>132</v>
      </c>
      <c r="M2" s="69"/>
    </row>
    <row r="3" spans="1:13" ht="15">
      <c r="K3" s="69" t="s">
        <v>133</v>
      </c>
      <c r="L3" s="69"/>
      <c r="M3" s="69"/>
    </row>
    <row r="4" spans="1:13" ht="15">
      <c r="K4" s="69" t="s">
        <v>134</v>
      </c>
      <c r="L4" s="69"/>
      <c r="M4" s="69"/>
    </row>
    <row r="5" spans="1:13" ht="2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13" ht="24.75" customHeight="1">
      <c r="A6" s="71" t="s">
        <v>142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8" spans="1:13" ht="18.75">
      <c r="A8" s="65" t="s">
        <v>24</v>
      </c>
      <c r="B8" s="65" t="s">
        <v>135</v>
      </c>
      <c r="C8" s="1" t="s">
        <v>25</v>
      </c>
      <c r="D8" s="2" t="s">
        <v>25</v>
      </c>
      <c r="E8" s="7" t="s">
        <v>25</v>
      </c>
      <c r="F8" s="7" t="s">
        <v>25</v>
      </c>
      <c r="G8" s="7" t="s">
        <v>26</v>
      </c>
      <c r="H8" s="2" t="s">
        <v>27</v>
      </c>
      <c r="I8" s="2"/>
      <c r="J8" s="2"/>
      <c r="K8" s="2"/>
      <c r="L8" s="2"/>
      <c r="M8" s="2"/>
    </row>
    <row r="9" spans="1:13" ht="37.5" customHeight="1">
      <c r="A9" s="65"/>
      <c r="B9" s="65"/>
      <c r="C9" s="66">
        <v>2020</v>
      </c>
      <c r="D9" s="65">
        <v>2021</v>
      </c>
      <c r="E9" s="66">
        <v>2022</v>
      </c>
      <c r="F9" s="66">
        <v>2023</v>
      </c>
      <c r="G9" s="66" t="s">
        <v>141</v>
      </c>
      <c r="H9" s="63">
        <v>2025</v>
      </c>
      <c r="I9" s="64"/>
      <c r="J9" s="63">
        <v>2026</v>
      </c>
      <c r="K9" s="64"/>
      <c r="L9" s="63">
        <v>2027</v>
      </c>
      <c r="M9" s="64"/>
    </row>
    <row r="10" spans="1:13" ht="37.5">
      <c r="A10" s="65"/>
      <c r="B10" s="65"/>
      <c r="C10" s="67"/>
      <c r="D10" s="65"/>
      <c r="E10" s="67"/>
      <c r="F10" s="67"/>
      <c r="G10" s="67"/>
      <c r="H10" s="4" t="s">
        <v>86</v>
      </c>
      <c r="I10" s="4" t="s">
        <v>85</v>
      </c>
      <c r="J10" s="4" t="s">
        <v>86</v>
      </c>
      <c r="K10" s="4" t="s">
        <v>85</v>
      </c>
      <c r="L10" s="4" t="s">
        <v>86</v>
      </c>
      <c r="M10" s="4" t="s">
        <v>85</v>
      </c>
    </row>
    <row r="11" spans="1:13" ht="18.75">
      <c r="A11" s="65"/>
      <c r="B11" s="65"/>
      <c r="C11" s="68"/>
      <c r="D11" s="65"/>
      <c r="E11" s="68"/>
      <c r="F11" s="68"/>
      <c r="G11" s="68"/>
      <c r="H11" s="1" t="s">
        <v>28</v>
      </c>
      <c r="I11" s="52" t="s">
        <v>29</v>
      </c>
      <c r="J11" s="3" t="s">
        <v>28</v>
      </c>
      <c r="K11" s="3" t="s">
        <v>29</v>
      </c>
      <c r="L11" s="3" t="s">
        <v>28</v>
      </c>
      <c r="M11" s="3" t="s">
        <v>29</v>
      </c>
    </row>
    <row r="12" spans="1:13" ht="18.75">
      <c r="A12" s="9" t="s">
        <v>30</v>
      </c>
      <c r="B12" s="10"/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3" ht="18.75">
      <c r="A13" s="12" t="s">
        <v>92</v>
      </c>
      <c r="B13" s="10" t="s">
        <v>31</v>
      </c>
      <c r="C13" s="13">
        <v>63.344000000000001</v>
      </c>
      <c r="D13" s="14">
        <v>67.52</v>
      </c>
      <c r="E13" s="14">
        <v>71.19</v>
      </c>
      <c r="F13" s="14">
        <v>71.319999999999993</v>
      </c>
      <c r="G13" s="14">
        <v>71.5</v>
      </c>
      <c r="H13" s="41">
        <v>71.55</v>
      </c>
      <c r="I13" s="41">
        <v>71.58</v>
      </c>
      <c r="J13" s="41">
        <v>71.739999999999995</v>
      </c>
      <c r="K13" s="41">
        <v>71.81</v>
      </c>
      <c r="L13" s="41">
        <v>72.099999999999994</v>
      </c>
      <c r="M13" s="41">
        <v>72.180000000000007</v>
      </c>
    </row>
    <row r="14" spans="1:13" ht="18.75">
      <c r="A14" s="12" t="s">
        <v>93</v>
      </c>
      <c r="B14" s="10" t="s">
        <v>31</v>
      </c>
      <c r="C14" s="13">
        <f>(C13*57.3%)</f>
        <v>36.296112000000001</v>
      </c>
      <c r="D14" s="13">
        <f>(D13*57.3%)</f>
        <v>38.688959999999994</v>
      </c>
      <c r="E14" s="13">
        <f>(E13*57.6%)</f>
        <v>41.00544</v>
      </c>
      <c r="F14" s="13">
        <f>(F13*58.15%)</f>
        <v>41.472580000000001</v>
      </c>
      <c r="G14" s="13">
        <f>G13*58.7%</f>
        <v>41.970500000000008</v>
      </c>
      <c r="H14" s="42">
        <f>(H13*58.7%)</f>
        <v>41.999850000000002</v>
      </c>
      <c r="I14" s="42">
        <f>(I13*58.8%)</f>
        <v>42.089039999999997</v>
      </c>
      <c r="J14" s="42">
        <f>(J13*58.8%)</f>
        <v>42.183119999999995</v>
      </c>
      <c r="K14" s="42">
        <f>(K13*58.9%)</f>
        <v>42.29609</v>
      </c>
      <c r="L14" s="42">
        <f>L13*58.9%</f>
        <v>42.466899999999995</v>
      </c>
      <c r="M14" s="42">
        <f>M13*58.9%</f>
        <v>42.514020000000002</v>
      </c>
    </row>
    <row r="15" spans="1:13" ht="18.75">
      <c r="A15" s="12" t="s">
        <v>94</v>
      </c>
      <c r="B15" s="10" t="s">
        <v>31</v>
      </c>
      <c r="C15" s="13">
        <f>(C13*25%)</f>
        <v>15.836</v>
      </c>
      <c r="D15" s="13">
        <f>(D13*25%)</f>
        <v>16.88</v>
      </c>
      <c r="E15" s="13">
        <f>(E13*23.4%)</f>
        <v>16.658459999999998</v>
      </c>
      <c r="F15" s="13">
        <f>(F13*23%)</f>
        <v>16.403600000000001</v>
      </c>
      <c r="G15" s="13">
        <f>G13*22.9%</f>
        <v>16.3735</v>
      </c>
      <c r="H15" s="42">
        <f>H13*22.85%</f>
        <v>16.349174999999999</v>
      </c>
      <c r="I15" s="42">
        <f>I13*22.83%</f>
        <v>16.341713999999996</v>
      </c>
      <c r="J15" s="42">
        <f>J13*22.78%</f>
        <v>16.342371999999997</v>
      </c>
      <c r="K15" s="42">
        <f>K13*22.73%</f>
        <v>16.322413000000001</v>
      </c>
      <c r="L15" s="42">
        <f>L13*22.64%</f>
        <v>16.323440000000002</v>
      </c>
      <c r="M15" s="42">
        <f>(M13*22.6%)</f>
        <v>16.31268</v>
      </c>
    </row>
    <row r="16" spans="1:13" ht="18.75">
      <c r="A16" s="12" t="s">
        <v>33</v>
      </c>
      <c r="B16" s="10" t="s">
        <v>34</v>
      </c>
      <c r="C16" s="13">
        <v>70.599999999999994</v>
      </c>
      <c r="D16" s="14">
        <v>68.7</v>
      </c>
      <c r="E16" s="14">
        <v>71.22</v>
      </c>
      <c r="F16" s="14">
        <v>71.98</v>
      </c>
      <c r="G16" s="41">
        <v>72.06</v>
      </c>
      <c r="H16" s="41">
        <v>72.150000000000006</v>
      </c>
      <c r="I16" s="41">
        <v>72.150000000000006</v>
      </c>
      <c r="J16" s="41">
        <v>72.48</v>
      </c>
      <c r="K16" s="41">
        <v>72.48</v>
      </c>
      <c r="L16" s="41">
        <v>72.84</v>
      </c>
      <c r="M16" s="41">
        <v>72.84</v>
      </c>
    </row>
    <row r="17" spans="1:14" ht="37.5">
      <c r="A17" s="12" t="s">
        <v>35</v>
      </c>
      <c r="B17" s="10" t="s">
        <v>36</v>
      </c>
      <c r="C17" s="10">
        <v>7.4</v>
      </c>
      <c r="D17" s="11">
        <v>8.1</v>
      </c>
      <c r="E17" s="11">
        <v>6.9</v>
      </c>
      <c r="F17" s="11">
        <v>6.4</v>
      </c>
      <c r="G17" s="11">
        <v>6.4</v>
      </c>
      <c r="H17" s="28">
        <v>6.46</v>
      </c>
      <c r="I17" s="28">
        <v>6.5</v>
      </c>
      <c r="J17" s="28">
        <v>6.5</v>
      </c>
      <c r="K17" s="28">
        <v>6.52</v>
      </c>
      <c r="L17" s="28">
        <v>6.51</v>
      </c>
      <c r="M17" s="28">
        <v>6.53</v>
      </c>
    </row>
    <row r="18" spans="1:14" ht="18.75">
      <c r="A18" s="12" t="s">
        <v>95</v>
      </c>
      <c r="B18" s="10" t="s">
        <v>96</v>
      </c>
      <c r="C18" s="10">
        <v>1.31</v>
      </c>
      <c r="D18" s="11">
        <v>1.28</v>
      </c>
      <c r="E18" s="57">
        <v>1.196</v>
      </c>
      <c r="F18" s="57">
        <v>1.19</v>
      </c>
      <c r="G18" s="57">
        <v>1.1850000000000001</v>
      </c>
      <c r="H18" s="28">
        <v>1.1859999999999999</v>
      </c>
      <c r="I18" s="28">
        <v>1.1859999999999999</v>
      </c>
      <c r="J18" s="57">
        <v>1.19</v>
      </c>
      <c r="K18" s="57">
        <v>1.19</v>
      </c>
      <c r="L18" s="57">
        <v>1.1919999999999999</v>
      </c>
      <c r="M18" s="57">
        <v>1.1919999999999999</v>
      </c>
    </row>
    <row r="19" spans="1:14" ht="37.5">
      <c r="A19" s="12" t="s">
        <v>37</v>
      </c>
      <c r="B19" s="10" t="s">
        <v>38</v>
      </c>
      <c r="C19" s="10">
        <v>15</v>
      </c>
      <c r="D19" s="11">
        <v>16.7</v>
      </c>
      <c r="E19" s="11">
        <v>11.4</v>
      </c>
      <c r="F19" s="11">
        <v>10.7</v>
      </c>
      <c r="G19" s="11">
        <v>10.7</v>
      </c>
      <c r="H19" s="28">
        <v>10.7</v>
      </c>
      <c r="I19" s="28">
        <v>10.69</v>
      </c>
      <c r="J19" s="28">
        <v>10.66</v>
      </c>
      <c r="K19" s="28">
        <v>10.65</v>
      </c>
      <c r="L19" s="28">
        <v>10.63</v>
      </c>
      <c r="M19" s="28">
        <v>10.6</v>
      </c>
    </row>
    <row r="20" spans="1:14" ht="18.75">
      <c r="A20" s="12" t="s">
        <v>77</v>
      </c>
      <c r="B20" s="10" t="s">
        <v>39</v>
      </c>
      <c r="C20" s="10">
        <f>(C17-C19)</f>
        <v>-7.6</v>
      </c>
      <c r="D20" s="10">
        <f t="shared" ref="D20" si="0">(D17-D19)</f>
        <v>-8.6</v>
      </c>
      <c r="E20" s="10">
        <v>-4.5</v>
      </c>
      <c r="F20" s="10">
        <v>-4.3</v>
      </c>
      <c r="G20" s="22">
        <f t="shared" ref="G20:M20" si="1">(G17-G19)</f>
        <v>-4.2999999999999989</v>
      </c>
      <c r="H20" s="22">
        <f t="shared" si="1"/>
        <v>-4.2399999999999993</v>
      </c>
      <c r="I20" s="22">
        <f t="shared" si="1"/>
        <v>-4.1899999999999995</v>
      </c>
      <c r="J20" s="22">
        <f t="shared" si="1"/>
        <v>-4.16</v>
      </c>
      <c r="K20" s="22">
        <f t="shared" si="1"/>
        <v>-4.1300000000000008</v>
      </c>
      <c r="L20" s="22">
        <f t="shared" si="1"/>
        <v>-4.120000000000001</v>
      </c>
      <c r="M20" s="22">
        <f t="shared" si="1"/>
        <v>-4.0699999999999994</v>
      </c>
    </row>
    <row r="21" spans="1:14" ht="18.75">
      <c r="A21" s="12" t="s">
        <v>43</v>
      </c>
      <c r="B21" s="10" t="s">
        <v>67</v>
      </c>
      <c r="C21" s="15">
        <v>2906</v>
      </c>
      <c r="D21" s="16">
        <v>2325</v>
      </c>
      <c r="E21" s="16">
        <v>1615</v>
      </c>
      <c r="F21" s="16">
        <v>1786</v>
      </c>
      <c r="G21" s="16">
        <v>1580</v>
      </c>
      <c r="H21" s="43">
        <v>1600</v>
      </c>
      <c r="I21" s="43">
        <v>1650</v>
      </c>
      <c r="J21" s="43">
        <v>1790</v>
      </c>
      <c r="K21" s="43">
        <v>1790</v>
      </c>
      <c r="L21" s="43">
        <v>1810</v>
      </c>
      <c r="M21" s="43">
        <v>1810</v>
      </c>
    </row>
    <row r="22" spans="1:14" ht="18.75">
      <c r="A22" s="12" t="s">
        <v>45</v>
      </c>
      <c r="B22" s="10" t="s">
        <v>67</v>
      </c>
      <c r="C22" s="15">
        <v>1494</v>
      </c>
      <c r="D22" s="16">
        <v>1452</v>
      </c>
      <c r="E22" s="16">
        <v>1380</v>
      </c>
      <c r="F22" s="16">
        <v>1141</v>
      </c>
      <c r="G22" s="16">
        <v>1240</v>
      </c>
      <c r="H22" s="43">
        <v>1250</v>
      </c>
      <c r="I22" s="43">
        <v>1240</v>
      </c>
      <c r="J22" s="43">
        <v>1138</v>
      </c>
      <c r="K22" s="43">
        <v>1138</v>
      </c>
      <c r="L22" s="43">
        <v>1135</v>
      </c>
      <c r="M22" s="43">
        <v>1135</v>
      </c>
    </row>
    <row r="23" spans="1:14" ht="18.75">
      <c r="A23" s="12" t="s">
        <v>97</v>
      </c>
      <c r="B23" s="10" t="s">
        <v>67</v>
      </c>
      <c r="C23" s="15">
        <f>(C21-C22)</f>
        <v>1412</v>
      </c>
      <c r="D23" s="15">
        <f t="shared" ref="D23" si="2">(D21-D22)</f>
        <v>873</v>
      </c>
      <c r="E23" s="15">
        <v>235</v>
      </c>
      <c r="F23" s="15">
        <v>645</v>
      </c>
      <c r="G23" s="15">
        <f>(G21-G22)</f>
        <v>340</v>
      </c>
      <c r="H23" s="15">
        <f t="shared" ref="H23:M23" si="3">(H21-H22)</f>
        <v>350</v>
      </c>
      <c r="I23" s="15">
        <f t="shared" si="3"/>
        <v>410</v>
      </c>
      <c r="J23" s="15">
        <f t="shared" si="3"/>
        <v>652</v>
      </c>
      <c r="K23" s="15">
        <f t="shared" si="3"/>
        <v>652</v>
      </c>
      <c r="L23" s="15">
        <f t="shared" si="3"/>
        <v>675</v>
      </c>
      <c r="M23" s="15">
        <f t="shared" si="3"/>
        <v>675</v>
      </c>
    </row>
    <row r="24" spans="1:14" ht="18.75">
      <c r="A24" s="9" t="s">
        <v>46</v>
      </c>
      <c r="B24" s="10"/>
      <c r="C24" s="10"/>
      <c r="D24" s="11"/>
      <c r="E24" s="11"/>
      <c r="F24" s="11"/>
      <c r="G24" s="11"/>
      <c r="H24" s="20"/>
      <c r="I24" s="20"/>
      <c r="J24" s="20"/>
      <c r="K24" s="20"/>
      <c r="L24" s="20"/>
      <c r="M24" s="20"/>
    </row>
    <row r="25" spans="1:14" ht="56.25">
      <c r="A25" s="12" t="s">
        <v>47</v>
      </c>
      <c r="B25" s="10" t="s">
        <v>48</v>
      </c>
      <c r="C25" s="15">
        <v>7768582</v>
      </c>
      <c r="D25" s="16">
        <v>9544727</v>
      </c>
      <c r="E25" s="16">
        <v>18306531</v>
      </c>
      <c r="F25" s="16">
        <v>19404327.399999999</v>
      </c>
      <c r="G25" s="16">
        <f>(F25*G26%)</f>
        <v>20529778.389199998</v>
      </c>
      <c r="H25" s="43">
        <f>(G25*H26%)</f>
        <v>21699975.757384397</v>
      </c>
      <c r="I25" s="43">
        <f>(G25*I26%)</f>
        <v>21761565.092551999</v>
      </c>
      <c r="J25" s="43">
        <f>(H25*J26%)</f>
        <v>22524574.836165003</v>
      </c>
      <c r="K25" s="43">
        <f>(I25*K26%)</f>
        <v>22632027.696254078</v>
      </c>
      <c r="L25" s="43">
        <f>(J25*L26%)</f>
        <v>23425557.829611603</v>
      </c>
      <c r="M25" s="43">
        <f>(K25*M26%)</f>
        <v>23537308.804104242</v>
      </c>
      <c r="N25" t="s">
        <v>144</v>
      </c>
    </row>
    <row r="26" spans="1:14" ht="18.75">
      <c r="A26" s="12"/>
      <c r="B26" s="10" t="s">
        <v>49</v>
      </c>
      <c r="C26" s="10"/>
      <c r="D26" s="11">
        <f>(D25/C25*100)</f>
        <v>122.8631814660642</v>
      </c>
      <c r="E26" s="11">
        <f>E25/D25*100</f>
        <v>191.79732432368155</v>
      </c>
      <c r="F26" s="11">
        <f>(F25/E25*100)</f>
        <v>105.99674728106596</v>
      </c>
      <c r="G26" s="11">
        <v>105.8</v>
      </c>
      <c r="H26" s="28">
        <v>105.7</v>
      </c>
      <c r="I26" s="28">
        <v>106</v>
      </c>
      <c r="J26" s="28">
        <v>103.8</v>
      </c>
      <c r="K26" s="28">
        <v>104</v>
      </c>
      <c r="L26" s="34">
        <v>104</v>
      </c>
      <c r="M26" s="28">
        <v>104</v>
      </c>
    </row>
    <row r="27" spans="1:14" ht="18.75">
      <c r="A27" s="12" t="s">
        <v>0</v>
      </c>
      <c r="B27" s="10"/>
      <c r="C27" s="10"/>
      <c r="D27" s="11"/>
      <c r="E27" s="11"/>
      <c r="F27" s="11"/>
      <c r="G27" s="11"/>
      <c r="H27" s="20"/>
      <c r="I27" s="20"/>
      <c r="J27" s="20"/>
      <c r="K27" s="20"/>
      <c r="L27" s="20"/>
      <c r="M27" s="20"/>
    </row>
    <row r="28" spans="1:14" ht="56.25">
      <c r="A28" s="12" t="s">
        <v>87</v>
      </c>
      <c r="B28" s="10" t="s">
        <v>48</v>
      </c>
      <c r="C28" s="10">
        <v>0</v>
      </c>
      <c r="D28" s="17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</row>
    <row r="29" spans="1:14" ht="19.5" customHeight="1">
      <c r="A29" s="12"/>
      <c r="B29" s="10" t="s">
        <v>49</v>
      </c>
      <c r="C29" s="10"/>
      <c r="D29" s="11"/>
      <c r="E29" s="11"/>
      <c r="F29" s="11"/>
      <c r="G29" s="11"/>
      <c r="H29" s="20"/>
      <c r="I29" s="20"/>
      <c r="J29" s="20"/>
      <c r="K29" s="20"/>
      <c r="L29" s="20"/>
      <c r="M29" s="20"/>
    </row>
    <row r="30" spans="1:14" ht="56.25">
      <c r="A30" s="12" t="s">
        <v>88</v>
      </c>
      <c r="B30" s="10" t="s">
        <v>48</v>
      </c>
      <c r="C30" s="15">
        <v>3975360</v>
      </c>
      <c r="D30" s="11">
        <v>4436593</v>
      </c>
      <c r="E30" s="16">
        <v>12452546</v>
      </c>
      <c r="F30" s="16">
        <v>12167077</v>
      </c>
      <c r="G30" s="16">
        <f>(F30*G31%)</f>
        <v>12544256.386999998</v>
      </c>
      <c r="H30" s="43">
        <f>(G30*H31%)</f>
        <v>13046026.642479999</v>
      </c>
      <c r="I30" s="28">
        <f>(G30*I31%)</f>
        <v>13146380.693575999</v>
      </c>
      <c r="J30" s="43">
        <f>(H30*J31%)</f>
        <v>13672235.92131904</v>
      </c>
      <c r="K30" s="28">
        <f>(I30*K31%)</f>
        <v>13803699.728254799</v>
      </c>
      <c r="L30" s="28">
        <f>(J30*L31%)</f>
        <v>13973025.111588059</v>
      </c>
      <c r="M30" s="28">
        <f>(K30*M31%)</f>
        <v>14121184.822004657</v>
      </c>
      <c r="N30" t="s">
        <v>143</v>
      </c>
    </row>
    <row r="31" spans="1:14" ht="18.75">
      <c r="A31" s="12"/>
      <c r="B31" s="10" t="s">
        <v>32</v>
      </c>
      <c r="C31" s="10">
        <v>100.2</v>
      </c>
      <c r="D31" s="16">
        <f>(D30/C30*100)</f>
        <v>111.60229513805039</v>
      </c>
      <c r="E31" s="11">
        <f>E30/D30*100</f>
        <v>280.67812395682904</v>
      </c>
      <c r="F31" s="11">
        <f>(F30/E30*100)</f>
        <v>97.707545107643043</v>
      </c>
      <c r="G31" s="11">
        <v>103.1</v>
      </c>
      <c r="H31" s="28">
        <v>104</v>
      </c>
      <c r="I31" s="28">
        <v>104.8</v>
      </c>
      <c r="J31" s="28">
        <v>104.8</v>
      </c>
      <c r="K31" s="28">
        <v>105</v>
      </c>
      <c r="L31" s="28">
        <v>102.2</v>
      </c>
      <c r="M31" s="28">
        <v>102.3</v>
      </c>
    </row>
    <row r="32" spans="1:14" ht="75">
      <c r="A32" s="12" t="s">
        <v>89</v>
      </c>
      <c r="B32" s="10" t="s">
        <v>48</v>
      </c>
      <c r="C32" s="15">
        <v>82850</v>
      </c>
      <c r="D32" s="19">
        <v>161924</v>
      </c>
      <c r="E32" s="19">
        <v>162962</v>
      </c>
      <c r="F32" s="19">
        <v>199474.7</v>
      </c>
      <c r="G32" s="19">
        <f>(F32*G33%)</f>
        <v>215432.67600000004</v>
      </c>
      <c r="H32" s="34">
        <f>(G32*H33%)</f>
        <v>232667.29008000006</v>
      </c>
      <c r="I32" s="34">
        <f>(G32*I33%)</f>
        <v>233098.15543200006</v>
      </c>
      <c r="J32" s="34">
        <f>(H32*J33%)</f>
        <v>251746.00786656007</v>
      </c>
      <c r="K32" s="34">
        <f>(I32*K33%)</f>
        <v>252678.40048828808</v>
      </c>
      <c r="L32" s="34">
        <f>(J32*L33%)</f>
        <v>272892.67252735113</v>
      </c>
      <c r="M32" s="34">
        <f>(K32*M33%)</f>
        <v>274408.7429302808</v>
      </c>
    </row>
    <row r="33" spans="1:13" ht="18.75">
      <c r="A33" s="12"/>
      <c r="B33" s="10" t="s">
        <v>32</v>
      </c>
      <c r="C33" s="10">
        <v>591.29999999999995</v>
      </c>
      <c r="D33" s="11">
        <f>(D32/C32*100)</f>
        <v>195.44236572118285</v>
      </c>
      <c r="E33" s="11">
        <f>E32/D32*100</f>
        <v>100.64104147624811</v>
      </c>
      <c r="F33" s="11">
        <f>(F32/E32*100)</f>
        <v>122.40565285158505</v>
      </c>
      <c r="G33" s="11">
        <v>108</v>
      </c>
      <c r="H33" s="28">
        <v>108</v>
      </c>
      <c r="I33" s="28">
        <v>108.2</v>
      </c>
      <c r="J33" s="28">
        <v>108.2</v>
      </c>
      <c r="K33" s="28">
        <v>108.4</v>
      </c>
      <c r="L33" s="28">
        <v>108.4</v>
      </c>
      <c r="M33" s="28">
        <v>108.6</v>
      </c>
    </row>
    <row r="34" spans="1:13" ht="75">
      <c r="A34" s="12" t="s">
        <v>90</v>
      </c>
      <c r="B34" s="10" t="s">
        <v>48</v>
      </c>
      <c r="C34" s="15">
        <v>28572</v>
      </c>
      <c r="D34" s="11">
        <v>48152</v>
      </c>
      <c r="E34" s="11">
        <v>62061</v>
      </c>
      <c r="F34" s="11">
        <v>80100</v>
      </c>
      <c r="G34" s="11">
        <f>(F34*G35%)</f>
        <v>81702</v>
      </c>
      <c r="H34" s="28">
        <f>(G34*H35%)</f>
        <v>83336.040000000008</v>
      </c>
      <c r="I34" s="28">
        <f>(G34*I35%)</f>
        <v>83417.741999999998</v>
      </c>
      <c r="J34" s="28">
        <f>(H34*J35%)</f>
        <v>85252.768920000002</v>
      </c>
      <c r="K34" s="28">
        <f>(I34*K35%)</f>
        <v>85503.185549999995</v>
      </c>
      <c r="L34" s="28">
        <f>(J34*L35%)</f>
        <v>88236.615832199997</v>
      </c>
      <c r="M34" s="28">
        <f>(K34*M35%)</f>
        <v>88666.80341534999</v>
      </c>
    </row>
    <row r="35" spans="1:13" ht="18.75">
      <c r="A35" s="12"/>
      <c r="B35" s="10" t="s">
        <v>32</v>
      </c>
      <c r="C35" s="10">
        <v>42.9</v>
      </c>
      <c r="D35" s="11">
        <f>(D34/C34*100)</f>
        <v>168.52862942741146</v>
      </c>
      <c r="E35" s="11">
        <f>E34/D34*100</f>
        <v>128.88561222794485</v>
      </c>
      <c r="F35" s="11">
        <f>(F34/E34*100)</f>
        <v>129.06656354232126</v>
      </c>
      <c r="G35" s="11">
        <v>102</v>
      </c>
      <c r="H35" s="28">
        <v>102</v>
      </c>
      <c r="I35" s="28">
        <v>102.1</v>
      </c>
      <c r="J35" s="28">
        <v>102.3</v>
      </c>
      <c r="K35" s="28">
        <v>102.5</v>
      </c>
      <c r="L35" s="28">
        <v>103.5</v>
      </c>
      <c r="M35" s="28">
        <v>103.7</v>
      </c>
    </row>
    <row r="36" spans="1:13" ht="18.75">
      <c r="A36" s="9" t="s">
        <v>52</v>
      </c>
      <c r="B36" s="10"/>
      <c r="C36" s="10"/>
      <c r="D36" s="11"/>
      <c r="E36" s="11"/>
      <c r="F36" s="11"/>
      <c r="G36" s="11"/>
      <c r="H36" s="20"/>
      <c r="I36" s="20"/>
      <c r="J36" s="20"/>
      <c r="K36" s="20"/>
      <c r="L36" s="20"/>
      <c r="M36" s="20"/>
    </row>
    <row r="37" spans="1:13" ht="37.5">
      <c r="A37" s="23" t="s">
        <v>51</v>
      </c>
      <c r="B37" s="21" t="s">
        <v>48</v>
      </c>
      <c r="C37" s="44">
        <f>(C41+C44)</f>
        <v>4591964</v>
      </c>
      <c r="D37" s="11">
        <f>(D41+D44)</f>
        <v>4616496.41</v>
      </c>
      <c r="E37" s="11">
        <v>5390121</v>
      </c>
      <c r="F37" s="11">
        <f>(F41+F44)</f>
        <v>5386324</v>
      </c>
      <c r="G37" s="11">
        <f t="shared" ref="G37:M37" si="4">(G41+G44)</f>
        <v>5900321</v>
      </c>
      <c r="H37" s="55">
        <f t="shared" si="4"/>
        <v>6216921</v>
      </c>
      <c r="I37" s="55">
        <f t="shared" si="4"/>
        <v>6275021</v>
      </c>
      <c r="J37" s="55">
        <f t="shared" si="4"/>
        <v>6516021</v>
      </c>
      <c r="K37" s="55">
        <f t="shared" si="4"/>
        <v>6594921</v>
      </c>
      <c r="L37" s="55">
        <f t="shared" si="4"/>
        <v>7037321</v>
      </c>
      <c r="M37" s="55">
        <f t="shared" si="4"/>
        <v>7107021</v>
      </c>
    </row>
    <row r="38" spans="1:13" ht="37.5">
      <c r="A38" s="12"/>
      <c r="B38" s="10" t="s">
        <v>50</v>
      </c>
      <c r="C38" s="10">
        <v>100.42</v>
      </c>
      <c r="D38" s="11">
        <f>((D37/D39%/C37)*100)</f>
        <v>99.63750898552324</v>
      </c>
      <c r="E38" s="11">
        <f>(E37/(D37*E39%)*100)</f>
        <v>113.79905394026034</v>
      </c>
      <c r="F38" s="11">
        <f>(F37/(E37*F39%)*100)</f>
        <v>98.940154764724966</v>
      </c>
      <c r="G38" s="11">
        <f>(G37/(F37*G39%)*100)</f>
        <v>100.40571086932088</v>
      </c>
      <c r="H38" s="56">
        <f>(H37/(G37*H39%)*100)</f>
        <v>99.589612248096415</v>
      </c>
      <c r="I38" s="56">
        <f>(I37/(G37*I39%)*100)</f>
        <v>101.47948659090358</v>
      </c>
      <c r="J38" s="56">
        <f>(J37/(H37*J39%)*100)</f>
        <v>100.3937387219068</v>
      </c>
      <c r="K38" s="56">
        <f>(K37/(I37*K39%)*100)</f>
        <v>101.1530230097421</v>
      </c>
      <c r="L38" s="56">
        <f>(L37/(J37*L39%)*100)</f>
        <v>103.94637262095874</v>
      </c>
      <c r="M38" s="56">
        <f>(M37/(K37*M39%)*100)</f>
        <v>103.71998698816687</v>
      </c>
    </row>
    <row r="39" spans="1:13" ht="18.75">
      <c r="A39" s="12" t="s">
        <v>105</v>
      </c>
      <c r="B39" s="10" t="s">
        <v>106</v>
      </c>
      <c r="C39" s="10">
        <v>102.3</v>
      </c>
      <c r="D39" s="11">
        <v>100.9</v>
      </c>
      <c r="E39" s="11">
        <v>102.6</v>
      </c>
      <c r="F39" s="11">
        <v>101</v>
      </c>
      <c r="G39" s="11">
        <v>109.1</v>
      </c>
      <c r="H39" s="56">
        <v>105.8</v>
      </c>
      <c r="I39" s="56">
        <v>104.8</v>
      </c>
      <c r="J39" s="56">
        <v>104.4</v>
      </c>
      <c r="K39" s="56">
        <v>103.9</v>
      </c>
      <c r="L39" s="56">
        <v>103.9</v>
      </c>
      <c r="M39" s="56">
        <v>103.9</v>
      </c>
    </row>
    <row r="40" spans="1:13" ht="18.75">
      <c r="A40" s="12" t="s">
        <v>0</v>
      </c>
      <c r="B40" s="10"/>
      <c r="C40" s="10"/>
      <c r="D40" s="11"/>
      <c r="E40" s="11"/>
      <c r="F40" s="11"/>
      <c r="G40" s="11"/>
      <c r="H40" s="56"/>
      <c r="I40" s="56"/>
      <c r="J40" s="56"/>
      <c r="K40" s="56"/>
      <c r="L40" s="56"/>
      <c r="M40" s="56"/>
    </row>
    <row r="41" spans="1:13" ht="37.5">
      <c r="A41" s="12" t="s">
        <v>130</v>
      </c>
      <c r="B41" s="10" t="s">
        <v>48</v>
      </c>
      <c r="C41" s="22">
        <v>2542354</v>
      </c>
      <c r="D41" s="11">
        <v>2550489.5299999998</v>
      </c>
      <c r="E41" s="11">
        <v>2814144</v>
      </c>
      <c r="F41" s="11">
        <v>2866538</v>
      </c>
      <c r="G41" s="11">
        <v>3200044</v>
      </c>
      <c r="H41" s="56">
        <v>3389944</v>
      </c>
      <c r="I41" s="56">
        <v>3428044</v>
      </c>
      <c r="J41" s="56">
        <v>3555944</v>
      </c>
      <c r="K41" s="56">
        <v>3619944</v>
      </c>
      <c r="L41" s="56">
        <v>3937944</v>
      </c>
      <c r="M41" s="56">
        <v>3997944</v>
      </c>
    </row>
    <row r="42" spans="1:13" ht="37.5">
      <c r="A42" s="12" t="s">
        <v>131</v>
      </c>
      <c r="B42" s="10" t="s">
        <v>50</v>
      </c>
      <c r="C42" s="10">
        <v>104.57</v>
      </c>
      <c r="D42" s="11">
        <f>(D41/D39%/C44*100)</f>
        <v>123.32784632976825</v>
      </c>
      <c r="E42" s="11">
        <f>(E41/(D41*E43%)*100)</f>
        <v>111.3394616368512</v>
      </c>
      <c r="F42" s="11">
        <f>(F41/(E41*F43%)*100)</f>
        <v>100.35646254982433</v>
      </c>
      <c r="G42" s="11">
        <f>(G41/(F41*G43%)*100)</f>
        <v>100.84413046980505</v>
      </c>
      <c r="H42" s="56">
        <f>(H41/(G41*H43%)*100)</f>
        <v>99.749805464656973</v>
      </c>
      <c r="I42" s="56">
        <f>(I41/(G41*I43%)*100)</f>
        <v>102.023716221521</v>
      </c>
      <c r="J42" s="56">
        <f>(J41/(H41*J43%)*100)</f>
        <v>100.28378207832591</v>
      </c>
      <c r="K42" s="56">
        <f>(K41/(I41*K43%)*100)</f>
        <v>101.63421028276522</v>
      </c>
      <c r="L42" s="56">
        <f>(L41/(J41*L43%)*100)</f>
        <v>106.58573279454396</v>
      </c>
      <c r="M42" s="56">
        <f>(M41/(K41*M43%)*100)</f>
        <v>106.50159159720913</v>
      </c>
    </row>
    <row r="43" spans="1:13" ht="18.75">
      <c r="A43" s="12" t="s">
        <v>105</v>
      </c>
      <c r="B43" s="10" t="s">
        <v>106</v>
      </c>
      <c r="C43" s="10">
        <v>106.2</v>
      </c>
      <c r="D43" s="11">
        <v>107.4</v>
      </c>
      <c r="E43" s="11">
        <v>99.1</v>
      </c>
      <c r="F43" s="11">
        <v>101.5</v>
      </c>
      <c r="G43" s="11">
        <v>110.7</v>
      </c>
      <c r="H43" s="56">
        <v>106.2</v>
      </c>
      <c r="I43" s="56">
        <v>105</v>
      </c>
      <c r="J43" s="56">
        <v>104.6</v>
      </c>
      <c r="K43" s="56">
        <v>103.9</v>
      </c>
      <c r="L43" s="56">
        <v>103.9</v>
      </c>
      <c r="M43" s="56">
        <v>103.7</v>
      </c>
    </row>
    <row r="44" spans="1:13" ht="37.5">
      <c r="A44" s="12" t="s">
        <v>101</v>
      </c>
      <c r="B44" s="10" t="s">
        <v>48</v>
      </c>
      <c r="C44" s="22">
        <v>2049610</v>
      </c>
      <c r="D44" s="11">
        <v>2066006.88</v>
      </c>
      <c r="E44" s="11">
        <v>2575977</v>
      </c>
      <c r="F44" s="11">
        <v>2519786</v>
      </c>
      <c r="G44" s="11">
        <v>2700277</v>
      </c>
      <c r="H44" s="56">
        <v>2826977</v>
      </c>
      <c r="I44" s="56">
        <v>2846977</v>
      </c>
      <c r="J44" s="56">
        <v>2960077</v>
      </c>
      <c r="K44" s="56">
        <v>2974977</v>
      </c>
      <c r="L44" s="56">
        <v>3099377</v>
      </c>
      <c r="M44" s="56">
        <v>3109077</v>
      </c>
    </row>
    <row r="45" spans="1:13" ht="37.5">
      <c r="A45" s="12" t="s">
        <v>102</v>
      </c>
      <c r="B45" s="10" t="s">
        <v>50</v>
      </c>
      <c r="C45" s="10">
        <v>95.61</v>
      </c>
      <c r="D45" s="11">
        <f>(D44/D39%/C44*100)</f>
        <v>99.900891972249738</v>
      </c>
      <c r="E45" s="11">
        <f>(E44/(D44*E46%)*100)</f>
        <v>117.40475885928443</v>
      </c>
      <c r="F45" s="11">
        <f>(F44/(E44*F46%)*100)</f>
        <v>96.563329599146016</v>
      </c>
      <c r="G45" s="11">
        <f>(G44/(F44*G46%)*100)</f>
        <v>100.15228930099545</v>
      </c>
      <c r="H45" s="56">
        <f>(H44/(G44*H46%)*100)</f>
        <v>99.517215985492527</v>
      </c>
      <c r="I45" s="56">
        <f>(I44/(G44*I46%)*100)</f>
        <v>100.79615293571847</v>
      </c>
      <c r="J45" s="56">
        <f>(J44/(H44*J46%)*100)</f>
        <v>100.58425505420961</v>
      </c>
      <c r="K45" s="56">
        <f>(K44/(I44*K46%)*100)</f>
        <v>100.67051732375919</v>
      </c>
      <c r="L45" s="56">
        <f>(L44/(J44*L46%)*100)</f>
        <v>100.7757061237361</v>
      </c>
      <c r="M45" s="56">
        <f>(M44/(K44*M46%)*100)</f>
        <v>100.58479102393252</v>
      </c>
    </row>
    <row r="46" spans="1:13" ht="18.75">
      <c r="A46" s="12" t="s">
        <v>105</v>
      </c>
      <c r="B46" s="10" t="s">
        <v>106</v>
      </c>
      <c r="C46" s="10">
        <v>101.3</v>
      </c>
      <c r="D46" s="11">
        <v>112.3</v>
      </c>
      <c r="E46" s="11">
        <v>106.2</v>
      </c>
      <c r="F46" s="11">
        <v>101.3</v>
      </c>
      <c r="G46" s="11">
        <v>107</v>
      </c>
      <c r="H46" s="56">
        <v>105.2</v>
      </c>
      <c r="I46" s="56">
        <v>104.6</v>
      </c>
      <c r="J46" s="56">
        <v>104.1</v>
      </c>
      <c r="K46" s="56">
        <v>103.8</v>
      </c>
      <c r="L46" s="56">
        <v>103.9</v>
      </c>
      <c r="M46" s="56">
        <v>103.9</v>
      </c>
    </row>
    <row r="47" spans="1:13" ht="18.75">
      <c r="A47" s="9" t="s">
        <v>113</v>
      </c>
      <c r="B47" s="10"/>
      <c r="C47" s="10"/>
      <c r="D47" s="11"/>
      <c r="E47" s="11"/>
      <c r="F47" s="11"/>
      <c r="G47" s="11"/>
      <c r="H47" s="20"/>
      <c r="I47" s="20"/>
      <c r="J47" s="20"/>
      <c r="K47" s="20"/>
      <c r="L47" s="20"/>
      <c r="M47" s="20"/>
    </row>
    <row r="48" spans="1:13" ht="37.5">
      <c r="A48" s="12" t="s">
        <v>13</v>
      </c>
      <c r="B48" s="21" t="s">
        <v>80</v>
      </c>
      <c r="C48" s="22">
        <v>15600</v>
      </c>
      <c r="D48" s="11">
        <v>8765</v>
      </c>
      <c r="E48" s="11">
        <v>15100</v>
      </c>
      <c r="F48" s="11">
        <v>6423</v>
      </c>
      <c r="G48" s="11">
        <v>556920</v>
      </c>
      <c r="H48" s="28">
        <v>590200</v>
      </c>
      <c r="I48" s="28">
        <v>592200</v>
      </c>
      <c r="J48" s="28">
        <v>620800</v>
      </c>
      <c r="K48" s="28">
        <v>629120</v>
      </c>
      <c r="L48" s="28">
        <v>648340</v>
      </c>
      <c r="M48" s="28">
        <v>659420</v>
      </c>
    </row>
    <row r="49" spans="1:13" ht="37.5">
      <c r="A49" s="12" t="s">
        <v>14</v>
      </c>
      <c r="B49" s="10" t="s">
        <v>15</v>
      </c>
      <c r="C49" s="10">
        <v>24.9</v>
      </c>
      <c r="D49" s="11">
        <f>(D48/(C48*D50%)*100)</f>
        <v>52.905741465063493</v>
      </c>
      <c r="E49" s="11">
        <f>(E48/(D48*E50%)*100)</f>
        <v>155.34364122408729</v>
      </c>
      <c r="F49" s="11">
        <f>(F48/(E48*F50%))*100</f>
        <v>40.318885157402477</v>
      </c>
      <c r="G49" s="11">
        <f>(G48/(F48*G50%)*100)</f>
        <v>8073.2910794569434</v>
      </c>
      <c r="H49" s="28">
        <f>(H48/(G48*H50%)*100)</f>
        <v>99.977097757341909</v>
      </c>
      <c r="I49" s="28">
        <f>(I48/(G48*I50%)*100)</f>
        <v>100.22133989534335</v>
      </c>
      <c r="J49" s="28">
        <f>(J48/(H48*J50%)*100)</f>
        <v>100.08057388986818</v>
      </c>
      <c r="K49" s="28">
        <f>(K48/(I48*K50%)*100)</f>
        <v>100.88735069034517</v>
      </c>
      <c r="L49" s="28">
        <f>(L48/(J48*L50%)*100)</f>
        <v>99.557875443475865</v>
      </c>
      <c r="M49" s="28">
        <f>(M48/(K48*M50%)*100)</f>
        <v>100.30263279580622</v>
      </c>
    </row>
    <row r="50" spans="1:13" ht="18.75">
      <c r="A50" s="12" t="s">
        <v>105</v>
      </c>
      <c r="B50" s="10" t="s">
        <v>106</v>
      </c>
      <c r="C50" s="10">
        <v>103.7</v>
      </c>
      <c r="D50" s="11">
        <v>106.2</v>
      </c>
      <c r="E50" s="11">
        <v>110.9</v>
      </c>
      <c r="F50" s="11">
        <v>105.5</v>
      </c>
      <c r="G50" s="11">
        <v>107.4</v>
      </c>
      <c r="H50" s="28">
        <v>106</v>
      </c>
      <c r="I50" s="28">
        <v>106.1</v>
      </c>
      <c r="J50" s="28">
        <v>105.1</v>
      </c>
      <c r="K50" s="28">
        <v>105.3</v>
      </c>
      <c r="L50" s="28">
        <v>104.9</v>
      </c>
      <c r="M50" s="28">
        <v>104.5</v>
      </c>
    </row>
    <row r="51" spans="1:13" ht="18.75">
      <c r="A51" s="12" t="s">
        <v>114</v>
      </c>
      <c r="B51" s="10" t="s">
        <v>115</v>
      </c>
      <c r="C51" s="10">
        <v>124.2</v>
      </c>
      <c r="D51" s="11">
        <v>101.7</v>
      </c>
      <c r="E51" s="11">
        <v>110.9</v>
      </c>
      <c r="F51" s="11">
        <v>186.9</v>
      </c>
      <c r="G51" s="11">
        <v>280</v>
      </c>
      <c r="H51" s="28">
        <v>280</v>
      </c>
      <c r="I51" s="28">
        <v>285</v>
      </c>
      <c r="J51" s="28">
        <v>285</v>
      </c>
      <c r="K51" s="28">
        <v>285</v>
      </c>
      <c r="L51" s="28">
        <v>290</v>
      </c>
      <c r="M51" s="28">
        <v>290</v>
      </c>
    </row>
    <row r="52" spans="1:13" ht="37.5">
      <c r="A52" s="9" t="s">
        <v>116</v>
      </c>
      <c r="B52" s="10"/>
      <c r="C52" s="10"/>
      <c r="D52" s="11"/>
      <c r="E52" s="11"/>
      <c r="F52" s="11"/>
      <c r="G52" s="11"/>
      <c r="H52" s="20"/>
      <c r="I52" s="20"/>
      <c r="J52" s="20"/>
      <c r="K52" s="20"/>
      <c r="L52" s="20"/>
      <c r="M52" s="20"/>
    </row>
    <row r="53" spans="1:13" ht="18.75">
      <c r="A53" s="12" t="s">
        <v>1</v>
      </c>
      <c r="B53" s="10" t="s">
        <v>2</v>
      </c>
      <c r="C53" s="10">
        <v>77.400000000000006</v>
      </c>
      <c r="D53" s="11">
        <v>76.7</v>
      </c>
      <c r="E53" s="11">
        <v>67.099999999999994</v>
      </c>
      <c r="F53" s="11">
        <v>56.6</v>
      </c>
      <c r="G53" s="55">
        <v>57</v>
      </c>
      <c r="H53" s="56">
        <v>64</v>
      </c>
      <c r="I53" s="56">
        <v>65</v>
      </c>
      <c r="J53" s="56">
        <v>66</v>
      </c>
      <c r="K53" s="56">
        <v>69</v>
      </c>
      <c r="L53" s="56">
        <v>70</v>
      </c>
      <c r="M53" s="56">
        <v>75</v>
      </c>
    </row>
    <row r="54" spans="1:13" ht="18.75">
      <c r="A54" s="12" t="s">
        <v>3</v>
      </c>
      <c r="B54" s="10" t="s">
        <v>2</v>
      </c>
      <c r="C54" s="10">
        <v>42.3</v>
      </c>
      <c r="D54" s="11">
        <v>37.6</v>
      </c>
      <c r="E54" s="11">
        <v>53.9</v>
      </c>
      <c r="F54" s="11">
        <v>120.6</v>
      </c>
      <c r="G54" s="55">
        <v>70</v>
      </c>
      <c r="H54" s="56">
        <v>60.5</v>
      </c>
      <c r="I54" s="56">
        <v>60.8</v>
      </c>
      <c r="J54" s="56">
        <v>61</v>
      </c>
      <c r="K54" s="56">
        <v>61.3</v>
      </c>
      <c r="L54" s="56">
        <v>61.5</v>
      </c>
      <c r="M54" s="56">
        <v>61.8</v>
      </c>
    </row>
    <row r="55" spans="1:13" ht="18.75">
      <c r="A55" s="12" t="s">
        <v>4</v>
      </c>
      <c r="B55" s="10" t="s">
        <v>2</v>
      </c>
      <c r="C55" s="10">
        <v>30.9</v>
      </c>
      <c r="D55" s="11">
        <v>24.2</v>
      </c>
      <c r="E55" s="11">
        <v>25.7</v>
      </c>
      <c r="F55" s="11">
        <v>26.4</v>
      </c>
      <c r="G55" s="55">
        <v>20</v>
      </c>
      <c r="H55" s="56">
        <v>20.96</v>
      </c>
      <c r="I55" s="56">
        <v>21</v>
      </c>
      <c r="J55" s="56">
        <v>21.5</v>
      </c>
      <c r="K55" s="56">
        <v>22</v>
      </c>
      <c r="L55" s="56">
        <v>22.5</v>
      </c>
      <c r="M55" s="56">
        <v>23</v>
      </c>
    </row>
    <row r="56" spans="1:13" ht="18.75">
      <c r="A56" s="12" t="s">
        <v>5</v>
      </c>
      <c r="B56" s="10" t="s">
        <v>2</v>
      </c>
      <c r="C56" s="10">
        <v>9.6999999999999993</v>
      </c>
      <c r="D56" s="11">
        <v>10.3</v>
      </c>
      <c r="E56" s="11">
        <v>9.9</v>
      </c>
      <c r="F56" s="11">
        <v>9.6999999999999993</v>
      </c>
      <c r="G56" s="55">
        <v>9.6999999999999993</v>
      </c>
      <c r="H56" s="56">
        <v>9.9</v>
      </c>
      <c r="I56" s="56">
        <v>9.9</v>
      </c>
      <c r="J56" s="56">
        <v>9.9</v>
      </c>
      <c r="K56" s="56">
        <v>9.9</v>
      </c>
      <c r="L56" s="56">
        <v>9.9</v>
      </c>
      <c r="M56" s="56">
        <v>9.9</v>
      </c>
    </row>
    <row r="57" spans="1:13" ht="18.75">
      <c r="A57" s="12" t="s">
        <v>6</v>
      </c>
      <c r="B57" s="10" t="s">
        <v>2</v>
      </c>
      <c r="C57" s="10">
        <v>39.4</v>
      </c>
      <c r="D57" s="11">
        <v>38.5</v>
      </c>
      <c r="E57" s="11">
        <v>37.1</v>
      </c>
      <c r="F57" s="11">
        <v>39.5</v>
      </c>
      <c r="G57" s="55">
        <v>39.5</v>
      </c>
      <c r="H57" s="56">
        <v>39.5</v>
      </c>
      <c r="I57" s="56">
        <v>39.5</v>
      </c>
      <c r="J57" s="56">
        <v>39.5</v>
      </c>
      <c r="K57" s="56">
        <v>39.5</v>
      </c>
      <c r="L57" s="56">
        <v>39.5</v>
      </c>
      <c r="M57" s="56">
        <v>39.5</v>
      </c>
    </row>
    <row r="58" spans="1:13" ht="18.75">
      <c r="A58" s="12" t="s">
        <v>7</v>
      </c>
      <c r="B58" s="10" t="s">
        <v>8</v>
      </c>
      <c r="C58" s="10">
        <v>27.6</v>
      </c>
      <c r="D58" s="11">
        <v>29.4</v>
      </c>
      <c r="E58" s="11">
        <v>30.1</v>
      </c>
      <c r="F58" s="11">
        <v>25.7</v>
      </c>
      <c r="G58" s="55">
        <v>25.7</v>
      </c>
      <c r="H58" s="56">
        <v>25.7</v>
      </c>
      <c r="I58" s="56">
        <v>25.7</v>
      </c>
      <c r="J58" s="56">
        <v>25.7</v>
      </c>
      <c r="K58" s="56">
        <v>25.7</v>
      </c>
      <c r="L58" s="56">
        <v>25.7</v>
      </c>
      <c r="M58" s="56">
        <v>25.7</v>
      </c>
    </row>
    <row r="59" spans="1:13" ht="18.75">
      <c r="A59" s="12" t="s">
        <v>145</v>
      </c>
      <c r="B59" s="10" t="s">
        <v>128</v>
      </c>
      <c r="C59" s="10">
        <v>355</v>
      </c>
      <c r="D59" s="11">
        <v>360</v>
      </c>
      <c r="E59" s="11">
        <v>336</v>
      </c>
      <c r="F59" s="11">
        <v>900</v>
      </c>
      <c r="G59" s="55">
        <v>1000</v>
      </c>
      <c r="H59" s="56">
        <v>1200</v>
      </c>
      <c r="I59" s="56">
        <v>1200</v>
      </c>
      <c r="J59" s="56">
        <v>1210</v>
      </c>
      <c r="K59" s="56">
        <v>1210</v>
      </c>
      <c r="L59" s="56">
        <v>1220</v>
      </c>
      <c r="M59" s="56">
        <v>1220</v>
      </c>
    </row>
    <row r="60" spans="1:13" ht="37.5">
      <c r="A60" s="12" t="s">
        <v>10</v>
      </c>
      <c r="B60" s="10" t="s">
        <v>9</v>
      </c>
      <c r="C60" s="10">
        <v>0</v>
      </c>
      <c r="D60" s="11">
        <v>30.2</v>
      </c>
      <c r="E60" s="11" t="s">
        <v>140</v>
      </c>
      <c r="F60" s="11">
        <v>56.3</v>
      </c>
      <c r="G60" s="55">
        <v>61</v>
      </c>
      <c r="H60" s="56">
        <v>68</v>
      </c>
      <c r="I60" s="56">
        <v>68</v>
      </c>
      <c r="J60" s="56">
        <v>71.2</v>
      </c>
      <c r="K60" s="56">
        <v>71.2</v>
      </c>
      <c r="L60" s="56">
        <v>71.2</v>
      </c>
      <c r="M60" s="56">
        <v>71.2</v>
      </c>
    </row>
    <row r="61" spans="1:13" ht="18.75">
      <c r="A61" s="12" t="s">
        <v>11</v>
      </c>
      <c r="B61" s="10" t="s">
        <v>2</v>
      </c>
      <c r="C61" s="10">
        <v>1587.5</v>
      </c>
      <c r="D61" s="11">
        <v>1100</v>
      </c>
      <c r="E61" s="11">
        <v>1150</v>
      </c>
      <c r="F61" s="11">
        <v>1170</v>
      </c>
      <c r="G61" s="55">
        <v>1170</v>
      </c>
      <c r="H61" s="56">
        <v>1200</v>
      </c>
      <c r="I61" s="56">
        <v>1200</v>
      </c>
      <c r="J61" s="56">
        <v>1200</v>
      </c>
      <c r="K61" s="56">
        <v>1210</v>
      </c>
      <c r="L61" s="56">
        <v>1210</v>
      </c>
      <c r="M61" s="56">
        <v>1220</v>
      </c>
    </row>
    <row r="62" spans="1:13" ht="18.75">
      <c r="A62" s="9" t="s">
        <v>117</v>
      </c>
      <c r="B62" s="10"/>
      <c r="C62" s="10"/>
      <c r="D62" s="11"/>
      <c r="E62" s="11"/>
      <c r="F62" s="11"/>
      <c r="G62" s="55"/>
      <c r="H62" s="40"/>
      <c r="I62" s="40"/>
      <c r="J62" s="40"/>
      <c r="K62" s="40"/>
      <c r="L62" s="40"/>
      <c r="M62" s="40"/>
    </row>
    <row r="63" spans="1:13" ht="37.5">
      <c r="A63" s="12" t="s">
        <v>55</v>
      </c>
      <c r="B63" s="10" t="s">
        <v>53</v>
      </c>
      <c r="C63" s="10">
        <v>636.4</v>
      </c>
      <c r="D63" s="11">
        <v>643.79999999999995</v>
      </c>
      <c r="E63" s="11">
        <v>638.4</v>
      </c>
      <c r="F63" s="11">
        <v>604.5</v>
      </c>
      <c r="G63" s="55">
        <v>604.5</v>
      </c>
      <c r="H63" s="56">
        <v>604.5</v>
      </c>
      <c r="I63" s="56">
        <v>604.5</v>
      </c>
      <c r="J63" s="56">
        <v>611.1</v>
      </c>
      <c r="K63" s="56">
        <v>611.1</v>
      </c>
      <c r="L63" s="56">
        <v>611.1</v>
      </c>
      <c r="M63" s="56">
        <v>611.1</v>
      </c>
    </row>
    <row r="64" spans="1:13" ht="37.5">
      <c r="A64" s="12" t="s">
        <v>54</v>
      </c>
      <c r="B64" s="10" t="s">
        <v>53</v>
      </c>
      <c r="C64" s="10">
        <v>286.3</v>
      </c>
      <c r="D64" s="11">
        <v>287.5</v>
      </c>
      <c r="E64" s="11">
        <v>307.7</v>
      </c>
      <c r="F64" s="11">
        <v>284.39999999999998</v>
      </c>
      <c r="G64" s="55">
        <v>284.39999999999998</v>
      </c>
      <c r="H64" s="56">
        <v>284.39999999999998</v>
      </c>
      <c r="I64" s="56">
        <v>284.39999999999998</v>
      </c>
      <c r="J64" s="56">
        <v>291</v>
      </c>
      <c r="K64" s="56">
        <v>291</v>
      </c>
      <c r="L64" s="56">
        <v>291</v>
      </c>
      <c r="M64" s="56">
        <v>291</v>
      </c>
    </row>
    <row r="65" spans="1:13" ht="18.75">
      <c r="A65" s="9" t="s">
        <v>118</v>
      </c>
      <c r="B65" s="10"/>
      <c r="C65" s="10"/>
      <c r="D65" s="11"/>
      <c r="E65" s="11"/>
      <c r="F65" s="11"/>
      <c r="G65" s="11"/>
      <c r="H65" s="20"/>
      <c r="I65" s="20"/>
      <c r="J65" s="20"/>
      <c r="K65" s="20"/>
      <c r="L65" s="20"/>
      <c r="M65" s="20"/>
    </row>
    <row r="66" spans="1:13" ht="37.5">
      <c r="A66" s="12" t="s">
        <v>78</v>
      </c>
      <c r="B66" s="10" t="s">
        <v>48</v>
      </c>
      <c r="C66" s="22">
        <v>1099249</v>
      </c>
      <c r="D66" s="11">
        <f>(D70+D71)</f>
        <v>3644624</v>
      </c>
      <c r="E66" s="11">
        <v>6264900</v>
      </c>
      <c r="F66" s="11">
        <v>6827100</v>
      </c>
      <c r="G66" s="11">
        <f>(G70+G71)</f>
        <v>7852788.7999999998</v>
      </c>
      <c r="H66" s="28">
        <f t="shared" ref="H66:M66" si="5">(H70+H71)</f>
        <v>8010897.9000000004</v>
      </c>
      <c r="I66" s="28">
        <f t="shared" si="5"/>
        <v>8010898.9000000004</v>
      </c>
      <c r="J66" s="28">
        <f t="shared" si="5"/>
        <v>8054139.5</v>
      </c>
      <c r="K66" s="28">
        <f t="shared" si="5"/>
        <v>8139139.5</v>
      </c>
      <c r="L66" s="28">
        <f t="shared" si="5"/>
        <v>8398000</v>
      </c>
      <c r="M66" s="28">
        <f t="shared" si="5"/>
        <v>8415300</v>
      </c>
    </row>
    <row r="67" spans="1:13" ht="37.5">
      <c r="A67" s="12" t="s">
        <v>22</v>
      </c>
      <c r="B67" s="10" t="s">
        <v>15</v>
      </c>
      <c r="C67" s="10">
        <v>44.7</v>
      </c>
      <c r="D67" s="11">
        <f>(D66/104.9%/C66*100)</f>
        <v>316.06846210102668</v>
      </c>
      <c r="E67" s="11">
        <f>(E66/(D66*E68%)*100)</f>
        <v>149.9950043324516</v>
      </c>
      <c r="F67" s="11">
        <f>(F66/(E66*F68%)*100)</f>
        <v>98.351810871330414</v>
      </c>
      <c r="G67" s="11">
        <f>(G66/(F66*G68%)*100)</f>
        <v>106.11050241978448</v>
      </c>
      <c r="H67" s="28">
        <f>(H66/(G66*H68%)*100)</f>
        <v>94.984556214968777</v>
      </c>
      <c r="I67" s="28">
        <f>(I66/(G66*I68%)*100)</f>
        <v>95.073090502521865</v>
      </c>
      <c r="J67" s="28">
        <f>(J66/(H66*J68%)*100)</f>
        <v>95.752175890533422</v>
      </c>
      <c r="K67" s="28">
        <f>(K66/(I66*K68%)*100)</f>
        <v>96.487014809002375</v>
      </c>
      <c r="L67" s="28">
        <f>(L66/(J66*L68%)*100)</f>
        <v>99.970626652618563</v>
      </c>
      <c r="M67" s="28">
        <f>(M66/(K66*M68%)*100)</f>
        <v>99.03543469070712</v>
      </c>
    </row>
    <row r="68" spans="1:13" ht="18.75">
      <c r="A68" s="12" t="s">
        <v>105</v>
      </c>
      <c r="B68" s="10" t="s">
        <v>106</v>
      </c>
      <c r="C68" s="10">
        <v>105.6</v>
      </c>
      <c r="D68" s="11">
        <v>104.9</v>
      </c>
      <c r="E68" s="11">
        <v>114.6</v>
      </c>
      <c r="F68" s="11">
        <v>110.8</v>
      </c>
      <c r="G68" s="11">
        <v>108.4</v>
      </c>
      <c r="H68" s="28">
        <v>107.4</v>
      </c>
      <c r="I68" s="28">
        <v>107.3</v>
      </c>
      <c r="J68" s="28">
        <v>105</v>
      </c>
      <c r="K68" s="28">
        <v>105.3</v>
      </c>
      <c r="L68" s="28">
        <v>104.3</v>
      </c>
      <c r="M68" s="28">
        <v>104.4</v>
      </c>
    </row>
    <row r="69" spans="1:13" ht="57" customHeight="1">
      <c r="A69" s="12" t="s">
        <v>83</v>
      </c>
      <c r="B69" s="10"/>
      <c r="C69" s="10"/>
      <c r="D69" s="11"/>
      <c r="E69" s="11"/>
      <c r="F69" s="11"/>
      <c r="G69" s="11"/>
      <c r="H69" s="20"/>
      <c r="I69" s="20"/>
      <c r="J69" s="20"/>
      <c r="K69" s="20"/>
      <c r="L69" s="20"/>
      <c r="M69" s="20"/>
    </row>
    <row r="70" spans="1:13" ht="37.5">
      <c r="A70" s="23" t="s">
        <v>56</v>
      </c>
      <c r="B70" s="10" t="s">
        <v>57</v>
      </c>
      <c r="C70" s="22">
        <v>595997</v>
      </c>
      <c r="D70" s="11">
        <v>1282741</v>
      </c>
      <c r="E70" s="11">
        <v>2604400</v>
      </c>
      <c r="F70" s="11">
        <f>(F66*53.3%)</f>
        <v>3638844.2999999993</v>
      </c>
      <c r="G70" s="11">
        <v>4200000</v>
      </c>
      <c r="H70" s="28">
        <v>4149900</v>
      </c>
      <c r="I70" s="28">
        <v>4151501</v>
      </c>
      <c r="J70" s="28">
        <v>4428000</v>
      </c>
      <c r="K70" s="28">
        <v>4500000</v>
      </c>
      <c r="L70" s="28">
        <v>4600000</v>
      </c>
      <c r="M70" s="28">
        <v>4600000</v>
      </c>
    </row>
    <row r="71" spans="1:13" ht="37.5">
      <c r="A71" s="23" t="s">
        <v>23</v>
      </c>
      <c r="B71" s="10" t="s">
        <v>57</v>
      </c>
      <c r="C71" s="22">
        <f>(C73+C74+C75)</f>
        <v>467624</v>
      </c>
      <c r="D71" s="22">
        <f>(D73+D74+D75+D80)</f>
        <v>2361883</v>
      </c>
      <c r="E71" s="22">
        <v>3623400</v>
      </c>
      <c r="F71" s="22">
        <f>(F66*46.7%)</f>
        <v>3188255.7</v>
      </c>
      <c r="G71" s="22">
        <f>(G73+G74+G75)</f>
        <v>3652788.8</v>
      </c>
      <c r="H71" s="45">
        <f>(H73+H74+H75)</f>
        <v>3860997.9</v>
      </c>
      <c r="I71" s="45">
        <f>(I73+I74+I75)</f>
        <v>3859397.9</v>
      </c>
      <c r="J71" s="45">
        <f t="shared" ref="J71:M71" si="6">(J73+J74+J75)</f>
        <v>3626139.5</v>
      </c>
      <c r="K71" s="45">
        <f t="shared" si="6"/>
        <v>3639139.5</v>
      </c>
      <c r="L71" s="45">
        <f t="shared" si="6"/>
        <v>3798000</v>
      </c>
      <c r="M71" s="45">
        <f t="shared" si="6"/>
        <v>3815300</v>
      </c>
    </row>
    <row r="72" spans="1:13" ht="18.75">
      <c r="A72" s="23" t="s">
        <v>58</v>
      </c>
      <c r="B72" s="10"/>
      <c r="C72" s="22"/>
      <c r="D72" s="11"/>
      <c r="E72" s="11"/>
      <c r="F72" s="11"/>
      <c r="G72" s="11"/>
      <c r="H72" s="20"/>
      <c r="I72" s="20"/>
      <c r="J72" s="20"/>
      <c r="K72" s="20"/>
      <c r="L72" s="20"/>
      <c r="M72" s="20"/>
    </row>
    <row r="73" spans="1:13" ht="37.5">
      <c r="A73" s="12" t="s">
        <v>59</v>
      </c>
      <c r="B73" s="10" t="s">
        <v>57</v>
      </c>
      <c r="C73" s="22">
        <v>42024</v>
      </c>
      <c r="D73" s="11">
        <v>972827</v>
      </c>
      <c r="E73" s="11">
        <v>1485594</v>
      </c>
      <c r="F73" s="11">
        <f>(F66*38%)</f>
        <v>2594298</v>
      </c>
      <c r="G73" s="11">
        <v>2132000</v>
      </c>
      <c r="H73" s="56">
        <v>2032000</v>
      </c>
      <c r="I73" s="56">
        <v>2032000</v>
      </c>
      <c r="J73" s="56">
        <v>2540000</v>
      </c>
      <c r="K73" s="56">
        <v>2550000</v>
      </c>
      <c r="L73" s="56">
        <v>2650000</v>
      </c>
      <c r="M73" s="56">
        <v>2660000</v>
      </c>
    </row>
    <row r="74" spans="1:13" ht="37.5">
      <c r="A74" s="12" t="s">
        <v>126</v>
      </c>
      <c r="B74" s="10" t="s">
        <v>57</v>
      </c>
      <c r="C74" s="22">
        <v>6555</v>
      </c>
      <c r="D74" s="11">
        <v>818685</v>
      </c>
      <c r="E74" s="11">
        <v>1458606</v>
      </c>
      <c r="F74" s="11">
        <f>(F71-F73-F75)</f>
        <v>102406.50000000012</v>
      </c>
      <c r="G74" s="11">
        <v>102000</v>
      </c>
      <c r="H74" s="55">
        <v>114000</v>
      </c>
      <c r="I74" s="55">
        <v>111400</v>
      </c>
      <c r="J74" s="55">
        <v>220000</v>
      </c>
      <c r="K74" s="55">
        <v>220000</v>
      </c>
      <c r="L74" s="55">
        <v>130000</v>
      </c>
      <c r="M74" s="55">
        <v>132000</v>
      </c>
    </row>
    <row r="75" spans="1:13" ht="37.5">
      <c r="A75" s="12" t="s">
        <v>60</v>
      </c>
      <c r="B75" s="10" t="s">
        <v>57</v>
      </c>
      <c r="C75" s="22">
        <f>(C77+C78+C79)</f>
        <v>419045</v>
      </c>
      <c r="D75" s="22">
        <f t="shared" ref="D75:M75" si="7">(D77+D78+D79)</f>
        <v>541794</v>
      </c>
      <c r="E75" s="22">
        <v>666700</v>
      </c>
      <c r="F75" s="22">
        <f>(F66*7.2%)</f>
        <v>491551.20000000007</v>
      </c>
      <c r="G75" s="22">
        <f>(G77+G78+G79)</f>
        <v>1418788.8</v>
      </c>
      <c r="H75" s="45">
        <f t="shared" si="7"/>
        <v>1714997.9</v>
      </c>
      <c r="I75" s="45">
        <f t="shared" si="7"/>
        <v>1715997.9</v>
      </c>
      <c r="J75" s="45">
        <f t="shared" si="7"/>
        <v>866139.5</v>
      </c>
      <c r="K75" s="45">
        <f t="shared" si="7"/>
        <v>869139.5</v>
      </c>
      <c r="L75" s="45">
        <f t="shared" si="7"/>
        <v>1018000</v>
      </c>
      <c r="M75" s="45">
        <f t="shared" si="7"/>
        <v>1023300</v>
      </c>
    </row>
    <row r="76" spans="1:13" ht="18.75">
      <c r="A76" s="12" t="s">
        <v>61</v>
      </c>
      <c r="B76" s="10"/>
      <c r="C76" s="22"/>
      <c r="D76" s="24"/>
      <c r="E76" s="24"/>
      <c r="F76" s="24"/>
      <c r="G76" s="24"/>
      <c r="H76" s="25"/>
      <c r="I76" s="25"/>
      <c r="J76" s="25"/>
      <c r="K76" s="25"/>
      <c r="L76" s="25"/>
      <c r="M76" s="25"/>
    </row>
    <row r="77" spans="1:13" ht="37.5">
      <c r="A77" s="23" t="s">
        <v>62</v>
      </c>
      <c r="B77" s="10" t="s">
        <v>57</v>
      </c>
      <c r="C77" s="22">
        <v>148307</v>
      </c>
      <c r="D77" s="11">
        <v>271915</v>
      </c>
      <c r="E77" s="11">
        <v>416300</v>
      </c>
      <c r="F77" s="11">
        <f>(F66*1.4%)</f>
        <v>95579.4</v>
      </c>
      <c r="G77" s="11">
        <v>263600</v>
      </c>
      <c r="H77" s="28">
        <v>201000</v>
      </c>
      <c r="I77" s="28">
        <v>202000</v>
      </c>
      <c r="J77" s="28">
        <v>311000</v>
      </c>
      <c r="K77" s="28">
        <v>312000</v>
      </c>
      <c r="L77" s="28">
        <v>422000</v>
      </c>
      <c r="M77" s="28">
        <v>425300</v>
      </c>
    </row>
    <row r="78" spans="1:13" ht="37.5">
      <c r="A78" s="23" t="s">
        <v>79</v>
      </c>
      <c r="B78" s="10" t="s">
        <v>57</v>
      </c>
      <c r="C78" s="22">
        <v>235260</v>
      </c>
      <c r="D78" s="11">
        <v>182775</v>
      </c>
      <c r="E78" s="11">
        <v>174000</v>
      </c>
      <c r="F78" s="11">
        <f>(F66*3.7%)</f>
        <v>252602.70000000004</v>
      </c>
      <c r="G78" s="11">
        <v>296600</v>
      </c>
      <c r="H78" s="28">
        <v>308000</v>
      </c>
      <c r="I78" s="28">
        <v>308000</v>
      </c>
      <c r="J78" s="28">
        <v>380000</v>
      </c>
      <c r="K78" s="28">
        <v>382000</v>
      </c>
      <c r="L78" s="28">
        <v>410000</v>
      </c>
      <c r="M78" s="28">
        <v>412000</v>
      </c>
    </row>
    <row r="79" spans="1:13" ht="37.5">
      <c r="A79" s="23" t="s">
        <v>63</v>
      </c>
      <c r="B79" s="10" t="s">
        <v>57</v>
      </c>
      <c r="C79" s="22">
        <v>35478</v>
      </c>
      <c r="D79" s="11">
        <v>87104</v>
      </c>
      <c r="E79" s="11">
        <v>76400</v>
      </c>
      <c r="F79" s="11">
        <f>(F75-F77-F78)</f>
        <v>143369.1</v>
      </c>
      <c r="G79" s="11">
        <v>858588.8</v>
      </c>
      <c r="H79" s="28">
        <v>1205997.8999999999</v>
      </c>
      <c r="I79" s="28">
        <v>1205997.8999999999</v>
      </c>
      <c r="J79" s="28">
        <v>175139.5</v>
      </c>
      <c r="K79" s="28">
        <v>175139.5</v>
      </c>
      <c r="L79" s="28">
        <v>186000</v>
      </c>
      <c r="M79" s="28">
        <v>186000</v>
      </c>
    </row>
    <row r="80" spans="1:13" ht="37.5">
      <c r="A80" s="23" t="s">
        <v>127</v>
      </c>
      <c r="B80" s="10" t="s">
        <v>57</v>
      </c>
      <c r="C80" s="22">
        <v>35628</v>
      </c>
      <c r="D80" s="11">
        <v>28577</v>
      </c>
      <c r="E80" s="11">
        <v>12500</v>
      </c>
      <c r="F80" s="11">
        <v>0</v>
      </c>
      <c r="G80" s="16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M80" s="43">
        <v>0</v>
      </c>
    </row>
    <row r="81" spans="1:14" ht="37.5">
      <c r="A81" s="23" t="s">
        <v>64</v>
      </c>
      <c r="B81" s="10" t="s">
        <v>48</v>
      </c>
      <c r="C81" s="22">
        <v>25882200</v>
      </c>
      <c r="D81" s="11">
        <v>25951400</v>
      </c>
      <c r="E81" s="11">
        <v>33311000</v>
      </c>
      <c r="F81" s="11">
        <v>35030900</v>
      </c>
      <c r="G81" s="11">
        <v>35125756</v>
      </c>
      <c r="H81" s="28">
        <v>35151700</v>
      </c>
      <c r="I81" s="28">
        <v>35331877</v>
      </c>
      <c r="J81" s="28">
        <v>35398303</v>
      </c>
      <c r="K81" s="28">
        <v>35449215</v>
      </c>
      <c r="L81" s="28">
        <v>35598303</v>
      </c>
      <c r="M81" s="28">
        <v>35898303</v>
      </c>
    </row>
    <row r="82" spans="1:14" ht="37.5">
      <c r="A82" s="23" t="s">
        <v>65</v>
      </c>
      <c r="B82" s="10" t="s">
        <v>48</v>
      </c>
      <c r="C82" s="22">
        <v>3284594</v>
      </c>
      <c r="D82" s="11">
        <v>2750500</v>
      </c>
      <c r="E82" s="11">
        <v>2750500</v>
      </c>
      <c r="F82" s="11">
        <v>940775</v>
      </c>
      <c r="G82" s="11">
        <v>1082311</v>
      </c>
      <c r="H82" s="28">
        <v>735165</v>
      </c>
      <c r="I82" s="28">
        <v>856273</v>
      </c>
      <c r="J82" s="28">
        <v>850723</v>
      </c>
      <c r="K82" s="28">
        <v>869153</v>
      </c>
      <c r="L82" s="46">
        <v>900400</v>
      </c>
      <c r="M82" s="46">
        <v>923400</v>
      </c>
    </row>
    <row r="83" spans="1:14" ht="37.5">
      <c r="A83" s="23" t="s">
        <v>66</v>
      </c>
      <c r="B83" s="10" t="s">
        <v>16</v>
      </c>
      <c r="C83" s="10">
        <v>45.65</v>
      </c>
      <c r="D83" s="11">
        <v>51.2</v>
      </c>
      <c r="E83" s="11">
        <v>51</v>
      </c>
      <c r="F83" s="11">
        <v>50.7</v>
      </c>
      <c r="G83" s="11">
        <v>50.2</v>
      </c>
      <c r="H83" s="28">
        <v>50.15</v>
      </c>
      <c r="I83" s="28">
        <v>50.15</v>
      </c>
      <c r="J83" s="28">
        <v>50.1</v>
      </c>
      <c r="K83" s="28">
        <v>50.1</v>
      </c>
      <c r="L83" s="28">
        <v>50</v>
      </c>
      <c r="M83" s="28">
        <v>50</v>
      </c>
    </row>
    <row r="84" spans="1:14" ht="37.5">
      <c r="A84" s="9" t="s">
        <v>119</v>
      </c>
      <c r="B84" s="10"/>
      <c r="C84" s="10"/>
      <c r="D84" s="11"/>
      <c r="E84" s="11"/>
      <c r="F84" s="11"/>
      <c r="G84" s="11"/>
      <c r="H84" s="20"/>
      <c r="I84" s="20"/>
      <c r="J84" s="20"/>
      <c r="K84" s="20"/>
      <c r="L84" s="20"/>
      <c r="M84" s="20"/>
    </row>
    <row r="85" spans="1:14" ht="40.5" customHeight="1">
      <c r="A85" s="12" t="s">
        <v>40</v>
      </c>
      <c r="B85" s="10" t="s">
        <v>21</v>
      </c>
      <c r="C85" s="15">
        <v>927</v>
      </c>
      <c r="D85" s="16">
        <v>893</v>
      </c>
      <c r="E85" s="16">
        <v>862</v>
      </c>
      <c r="F85" s="16">
        <v>850</v>
      </c>
      <c r="G85" s="16">
        <v>845</v>
      </c>
      <c r="H85" s="43">
        <v>850</v>
      </c>
      <c r="I85" s="43">
        <v>855</v>
      </c>
      <c r="J85" s="43">
        <v>860</v>
      </c>
      <c r="K85" s="43">
        <v>865</v>
      </c>
      <c r="L85" s="43">
        <v>870</v>
      </c>
      <c r="M85" s="43">
        <v>872</v>
      </c>
    </row>
    <row r="86" spans="1:14" ht="56.25">
      <c r="A86" s="12" t="s">
        <v>42</v>
      </c>
      <c r="B86" s="21" t="s">
        <v>67</v>
      </c>
      <c r="C86" s="47">
        <v>7666</v>
      </c>
      <c r="D86" s="48">
        <v>8100</v>
      </c>
      <c r="E86" s="11">
        <v>7251</v>
      </c>
      <c r="F86" s="11">
        <v>6571</v>
      </c>
      <c r="G86" s="11">
        <v>6570</v>
      </c>
      <c r="H86" s="50">
        <v>6620</v>
      </c>
      <c r="I86" s="50">
        <v>6680</v>
      </c>
      <c r="J86" s="50">
        <v>6760</v>
      </c>
      <c r="K86" s="50">
        <v>67860</v>
      </c>
      <c r="L86" s="50">
        <v>6900</v>
      </c>
      <c r="M86" s="50">
        <v>7000</v>
      </c>
    </row>
    <row r="87" spans="1:14" ht="37.5">
      <c r="A87" s="12" t="s">
        <v>41</v>
      </c>
      <c r="B87" s="10" t="s">
        <v>48</v>
      </c>
      <c r="C87" s="49">
        <v>25441849.25</v>
      </c>
      <c r="D87" s="48">
        <v>24990641.100000001</v>
      </c>
      <c r="E87" s="11">
        <v>25045841</v>
      </c>
      <c r="F87" s="11">
        <v>25176321</v>
      </c>
      <c r="G87" s="11">
        <v>25289741</v>
      </c>
      <c r="H87" s="28">
        <v>25575100</v>
      </c>
      <c r="I87" s="28">
        <v>25612500</v>
      </c>
      <c r="J87" s="28">
        <v>25987500</v>
      </c>
      <c r="K87" s="28">
        <v>26030000</v>
      </c>
      <c r="L87" s="28">
        <v>26500300</v>
      </c>
      <c r="M87" s="28">
        <v>26730150</v>
      </c>
    </row>
    <row r="88" spans="1:14" ht="23.25" customHeight="1">
      <c r="A88" s="12"/>
      <c r="B88" s="10" t="s">
        <v>44</v>
      </c>
      <c r="C88" s="29">
        <v>99.6</v>
      </c>
      <c r="D88" s="30">
        <f>D87/C87*100</f>
        <v>98.226511974163984</v>
      </c>
      <c r="E88" s="30">
        <f t="shared" ref="E88" si="8">E87/D87*100</f>
        <v>100.22088228861004</v>
      </c>
      <c r="F88" s="30">
        <f>(F87/E87%)</f>
        <v>100.52096473821742</v>
      </c>
      <c r="G88" s="30">
        <f>(G87/F87%)</f>
        <v>100.45050267670166</v>
      </c>
      <c r="H88" s="33">
        <f>(H87/G87%)</f>
        <v>101.12835872854529</v>
      </c>
      <c r="I88" s="28">
        <f>(I87/G87%)</f>
        <v>101.27624478241988</v>
      </c>
      <c r="J88" s="28">
        <f>(J87/H87%)</f>
        <v>101.61250591395537</v>
      </c>
      <c r="K88" s="28">
        <f>(K87/I87%)</f>
        <v>101.63006344558322</v>
      </c>
      <c r="L88" s="28">
        <f>(L87/J87%)</f>
        <v>101.97325637325638</v>
      </c>
      <c r="M88" s="28">
        <f>(M87/K87%)</f>
        <v>102.68978102189782</v>
      </c>
    </row>
    <row r="89" spans="1:14" ht="18.75">
      <c r="A89" s="9" t="s">
        <v>120</v>
      </c>
      <c r="B89" s="10"/>
      <c r="C89" s="29"/>
      <c r="D89" s="30"/>
      <c r="E89" s="14"/>
      <c r="F89" s="14"/>
      <c r="G89" s="14"/>
      <c r="H89" s="28"/>
      <c r="I89" s="28"/>
      <c r="J89" s="28"/>
      <c r="K89" s="28"/>
      <c r="L89" s="28"/>
      <c r="M89" s="28"/>
    </row>
    <row r="90" spans="1:14" ht="37.5">
      <c r="A90" s="12" t="s">
        <v>81</v>
      </c>
      <c r="B90" s="10" t="s">
        <v>12</v>
      </c>
      <c r="C90" s="19">
        <f>(C91-C92)</f>
        <v>4270140</v>
      </c>
      <c r="D90" s="19">
        <f t="shared" ref="D90:M90" si="9">(D91-D92)</f>
        <v>2530687</v>
      </c>
      <c r="E90" s="19">
        <v>5336176</v>
      </c>
      <c r="F90" s="19">
        <v>7948369</v>
      </c>
      <c r="G90" s="19">
        <f t="shared" si="9"/>
        <v>8152235</v>
      </c>
      <c r="H90" s="19">
        <f t="shared" si="9"/>
        <v>8472168</v>
      </c>
      <c r="I90" s="19">
        <f t="shared" si="9"/>
        <v>8503753</v>
      </c>
      <c r="J90" s="19">
        <f t="shared" si="9"/>
        <v>8891096</v>
      </c>
      <c r="K90" s="19">
        <f t="shared" si="9"/>
        <v>8901758</v>
      </c>
      <c r="L90" s="19">
        <f t="shared" si="9"/>
        <v>9343688</v>
      </c>
      <c r="M90" s="19">
        <f t="shared" si="9"/>
        <v>9344126</v>
      </c>
    </row>
    <row r="91" spans="1:14" ht="18.75">
      <c r="A91" s="12" t="s">
        <v>68</v>
      </c>
      <c r="B91" s="10" t="s">
        <v>12</v>
      </c>
      <c r="C91" s="30">
        <v>6101673</v>
      </c>
      <c r="D91" s="30">
        <v>2543786</v>
      </c>
      <c r="E91" s="11">
        <f>(E90+E92)</f>
        <v>5531592</v>
      </c>
      <c r="F91" s="11">
        <f>(F90+F92)</f>
        <v>8184111</v>
      </c>
      <c r="G91" s="19">
        <v>8367890</v>
      </c>
      <c r="H91" s="34">
        <v>8689963</v>
      </c>
      <c r="I91" s="34">
        <v>8689963</v>
      </c>
      <c r="J91" s="34">
        <v>9076881</v>
      </c>
      <c r="K91" s="34">
        <v>9076881</v>
      </c>
      <c r="L91" s="34">
        <v>9508339</v>
      </c>
      <c r="M91" s="34">
        <v>9508339</v>
      </c>
    </row>
    <row r="92" spans="1:14" ht="18.75">
      <c r="A92" s="12" t="s">
        <v>84</v>
      </c>
      <c r="B92" s="10" t="s">
        <v>12</v>
      </c>
      <c r="C92" s="30">
        <v>1831533</v>
      </c>
      <c r="D92" s="30">
        <v>13099</v>
      </c>
      <c r="E92" s="11">
        <v>195416</v>
      </c>
      <c r="F92" s="11">
        <v>235742</v>
      </c>
      <c r="G92" s="11">
        <v>215655</v>
      </c>
      <c r="H92" s="28">
        <v>217795</v>
      </c>
      <c r="I92" s="28">
        <v>186210</v>
      </c>
      <c r="J92" s="28">
        <v>185785</v>
      </c>
      <c r="K92" s="28">
        <v>175123</v>
      </c>
      <c r="L92" s="28">
        <v>164651</v>
      </c>
      <c r="M92" s="28">
        <v>164213</v>
      </c>
    </row>
    <row r="93" spans="1:14" ht="18.75">
      <c r="A93" s="35" t="s">
        <v>121</v>
      </c>
      <c r="B93" s="36"/>
      <c r="C93" s="37"/>
      <c r="D93" s="38"/>
      <c r="E93" s="39"/>
      <c r="F93" s="39"/>
      <c r="G93" s="39"/>
      <c r="H93" s="40"/>
      <c r="I93" s="40"/>
      <c r="J93" s="40"/>
      <c r="K93" s="40"/>
      <c r="L93" s="40"/>
      <c r="M93" s="40"/>
    </row>
    <row r="94" spans="1:14" ht="39">
      <c r="A94" s="58" t="s">
        <v>107</v>
      </c>
      <c r="B94" s="36" t="s">
        <v>108</v>
      </c>
      <c r="C94" s="59">
        <v>1405584</v>
      </c>
      <c r="D94" s="59">
        <v>1670633.48</v>
      </c>
      <c r="E94" s="60">
        <v>1944215.9</v>
      </c>
      <c r="F94" s="60">
        <v>1945097.3</v>
      </c>
      <c r="G94" s="60">
        <f>(G95+G98)</f>
        <v>3133130.16</v>
      </c>
      <c r="H94" s="60">
        <f>(H95+H98)</f>
        <v>2995155.3</v>
      </c>
      <c r="I94" s="60">
        <f>(I95+I98)</f>
        <v>2995155.3</v>
      </c>
      <c r="J94" s="60">
        <f t="shared" ref="J94:M94" si="10">(J95+J98)</f>
        <v>2262694.6799999997</v>
      </c>
      <c r="K94" s="60">
        <f t="shared" si="10"/>
        <v>2262694.6799999997</v>
      </c>
      <c r="L94" s="60">
        <f t="shared" si="10"/>
        <v>2131031.7999999998</v>
      </c>
      <c r="M94" s="60">
        <f t="shared" si="10"/>
        <v>2131031.7999999998</v>
      </c>
    </row>
    <row r="95" spans="1:14" ht="18.75">
      <c r="A95" s="61" t="s">
        <v>109</v>
      </c>
      <c r="B95" s="36" t="s">
        <v>108</v>
      </c>
      <c r="C95" s="38">
        <v>434380.7</v>
      </c>
      <c r="D95" s="38">
        <v>504230.58</v>
      </c>
      <c r="E95" s="60">
        <v>644216.6</v>
      </c>
      <c r="F95" s="60">
        <v>665554</v>
      </c>
      <c r="G95" s="60">
        <f>(G96+G97)</f>
        <v>852921.16</v>
      </c>
      <c r="H95" s="60">
        <f t="shared" ref="H95:M95" si="11">(H96+H97)</f>
        <v>769116.29999999993</v>
      </c>
      <c r="I95" s="60">
        <f t="shared" si="11"/>
        <v>769116.29999999993</v>
      </c>
      <c r="J95" s="60">
        <f t="shared" si="11"/>
        <v>745230.28</v>
      </c>
      <c r="K95" s="60">
        <f t="shared" si="11"/>
        <v>745230.28</v>
      </c>
      <c r="L95" s="60">
        <f t="shared" si="11"/>
        <v>794927.9</v>
      </c>
      <c r="M95" s="60">
        <f t="shared" si="11"/>
        <v>794927.9</v>
      </c>
      <c r="N95" s="8"/>
    </row>
    <row r="96" spans="1:14" ht="18.75">
      <c r="A96" s="61" t="s">
        <v>111</v>
      </c>
      <c r="B96" s="36" t="s">
        <v>108</v>
      </c>
      <c r="C96" s="38">
        <v>392123</v>
      </c>
      <c r="D96" s="38">
        <v>447411.1</v>
      </c>
      <c r="E96" s="60">
        <v>572787</v>
      </c>
      <c r="F96" s="60">
        <v>608998.6</v>
      </c>
      <c r="G96" s="60">
        <v>792697</v>
      </c>
      <c r="H96" s="62">
        <v>714804.1</v>
      </c>
      <c r="I96" s="62">
        <v>714804.1</v>
      </c>
      <c r="J96" s="62">
        <v>693083.14</v>
      </c>
      <c r="K96" s="62">
        <v>693083.14</v>
      </c>
      <c r="L96" s="62">
        <v>749188.6</v>
      </c>
      <c r="M96" s="62">
        <v>749188.6</v>
      </c>
      <c r="N96" s="8"/>
    </row>
    <row r="97" spans="1:14" ht="18.75">
      <c r="A97" s="61" t="s">
        <v>110</v>
      </c>
      <c r="B97" s="36" t="s">
        <v>108</v>
      </c>
      <c r="C97" s="38">
        <v>42257.7</v>
      </c>
      <c r="D97" s="38">
        <v>56819.5</v>
      </c>
      <c r="E97" s="60">
        <v>71429.600000000006</v>
      </c>
      <c r="F97" s="60">
        <v>56555.4</v>
      </c>
      <c r="G97" s="60">
        <v>60224.160000000003</v>
      </c>
      <c r="H97" s="62">
        <v>54312.2</v>
      </c>
      <c r="I97" s="62">
        <v>54312.2</v>
      </c>
      <c r="J97" s="62">
        <v>52147.14</v>
      </c>
      <c r="K97" s="62">
        <v>52147.14</v>
      </c>
      <c r="L97" s="62">
        <v>45739.3</v>
      </c>
      <c r="M97" s="62">
        <v>45739.3</v>
      </c>
      <c r="N97" s="8"/>
    </row>
    <row r="98" spans="1:14" ht="18.75">
      <c r="A98" s="61" t="s">
        <v>129</v>
      </c>
      <c r="B98" s="36" t="s">
        <v>108</v>
      </c>
      <c r="C98" s="38">
        <v>971203.3</v>
      </c>
      <c r="D98" s="38">
        <v>1166402.8999999999</v>
      </c>
      <c r="E98" s="60">
        <v>1299999.2</v>
      </c>
      <c r="F98" s="60">
        <v>1279543.3</v>
      </c>
      <c r="G98" s="60">
        <v>2280209</v>
      </c>
      <c r="H98" s="62">
        <v>2226039</v>
      </c>
      <c r="I98" s="62">
        <v>2226039</v>
      </c>
      <c r="J98" s="62">
        <v>1517464.4</v>
      </c>
      <c r="K98" s="62">
        <v>1517464.4</v>
      </c>
      <c r="L98" s="62">
        <v>1336103.8999999999</v>
      </c>
      <c r="M98" s="62">
        <v>1336103.8999999999</v>
      </c>
      <c r="N98" s="8"/>
    </row>
    <row r="99" spans="1:14" ht="39">
      <c r="A99" s="58" t="s">
        <v>124</v>
      </c>
      <c r="B99" s="36" t="s">
        <v>108</v>
      </c>
      <c r="C99" s="59">
        <v>1384258.3</v>
      </c>
      <c r="D99" s="59">
        <v>1650628.08</v>
      </c>
      <c r="E99" s="60">
        <v>1855730.5</v>
      </c>
      <c r="F99" s="60">
        <v>1991268.1</v>
      </c>
      <c r="G99" s="60">
        <v>2926034.8</v>
      </c>
      <c r="H99" s="62">
        <v>3226822</v>
      </c>
      <c r="I99" s="62">
        <v>3226822</v>
      </c>
      <c r="J99" s="62">
        <v>2244361.2999999998</v>
      </c>
      <c r="K99" s="62">
        <v>2244361.2999999998</v>
      </c>
      <c r="L99" s="62">
        <v>2112698.4</v>
      </c>
      <c r="M99" s="62">
        <v>2112698.4</v>
      </c>
      <c r="N99" s="8"/>
    </row>
    <row r="100" spans="1:14" ht="23.25" customHeight="1">
      <c r="A100" s="58" t="s">
        <v>125</v>
      </c>
      <c r="B100" s="36" t="s">
        <v>108</v>
      </c>
      <c r="C100" s="38">
        <v>21325.7</v>
      </c>
      <c r="D100" s="38">
        <v>20005.400000000001</v>
      </c>
      <c r="E100" s="60">
        <f>(E94-E99)</f>
        <v>88485.399999999907</v>
      </c>
      <c r="F100" s="60">
        <v>-46170.8</v>
      </c>
      <c r="G100" s="60">
        <f t="shared" ref="G100:M100" si="12">(G94-G99)</f>
        <v>207095.36000000034</v>
      </c>
      <c r="H100" s="62">
        <f t="shared" si="12"/>
        <v>-231666.70000000019</v>
      </c>
      <c r="I100" s="62">
        <f t="shared" si="12"/>
        <v>-231666.70000000019</v>
      </c>
      <c r="J100" s="62">
        <f t="shared" si="12"/>
        <v>18333.379999999888</v>
      </c>
      <c r="K100" s="62">
        <f t="shared" si="12"/>
        <v>18333.379999999888</v>
      </c>
      <c r="L100" s="62">
        <f t="shared" si="12"/>
        <v>18333.399999999907</v>
      </c>
      <c r="M100" s="62">
        <f t="shared" si="12"/>
        <v>18333.399999999907</v>
      </c>
      <c r="N100" s="8"/>
    </row>
    <row r="101" spans="1:14" ht="41.25" customHeight="1">
      <c r="A101" s="32" t="s">
        <v>112</v>
      </c>
      <c r="B101" s="10" t="s">
        <v>108</v>
      </c>
      <c r="C101" s="30">
        <v>58000</v>
      </c>
      <c r="D101" s="30">
        <v>55000</v>
      </c>
      <c r="E101" s="14">
        <v>55000</v>
      </c>
      <c r="F101" s="14">
        <v>55000</v>
      </c>
      <c r="G101" s="30">
        <v>55000</v>
      </c>
      <c r="H101" s="33">
        <v>36666.699999999997</v>
      </c>
      <c r="I101" s="33">
        <v>36666.699999999997</v>
      </c>
      <c r="J101" s="34">
        <v>18333.3</v>
      </c>
      <c r="K101" s="34">
        <v>18333.3</v>
      </c>
      <c r="L101" s="34">
        <v>0</v>
      </c>
      <c r="M101" s="34">
        <v>0</v>
      </c>
      <c r="N101" s="8"/>
    </row>
    <row r="102" spans="1:14" ht="18.75">
      <c r="A102" s="31" t="s">
        <v>122</v>
      </c>
      <c r="B102" s="10"/>
      <c r="C102" s="10"/>
      <c r="D102" s="11"/>
      <c r="E102" s="11"/>
      <c r="F102" s="11"/>
      <c r="G102" s="11"/>
      <c r="H102" s="20"/>
      <c r="I102" s="20"/>
      <c r="J102" s="20"/>
      <c r="K102" s="20"/>
      <c r="L102" s="20"/>
      <c r="M102" s="20"/>
      <c r="N102" s="8"/>
    </row>
    <row r="103" spans="1:14" ht="18.75">
      <c r="A103" s="27" t="s">
        <v>104</v>
      </c>
      <c r="B103" s="10" t="s">
        <v>67</v>
      </c>
      <c r="C103" s="22">
        <v>31680</v>
      </c>
      <c r="D103" s="11">
        <v>31700</v>
      </c>
      <c r="E103" s="16">
        <v>32530</v>
      </c>
      <c r="F103" s="16">
        <v>34900</v>
      </c>
      <c r="G103" s="16">
        <v>36200</v>
      </c>
      <c r="H103" s="16">
        <v>36250</v>
      </c>
      <c r="I103" s="16">
        <v>36260</v>
      </c>
      <c r="J103" s="16">
        <v>36270</v>
      </c>
      <c r="K103" s="16">
        <v>36300</v>
      </c>
      <c r="L103" s="16">
        <v>36320</v>
      </c>
      <c r="M103" s="16">
        <v>36340</v>
      </c>
      <c r="N103" s="8"/>
    </row>
    <row r="104" spans="1:14" ht="18.75">
      <c r="A104" s="27" t="s">
        <v>69</v>
      </c>
      <c r="B104" s="10" t="s">
        <v>67</v>
      </c>
      <c r="C104" s="22">
        <f>(C103*96%)</f>
        <v>30412.799999999999</v>
      </c>
      <c r="D104" s="22">
        <f>(D103*96.6%)</f>
        <v>30622.2</v>
      </c>
      <c r="E104" s="15">
        <f>E103-E106</f>
        <v>31489</v>
      </c>
      <c r="F104" s="15">
        <f>F103-F106</f>
        <v>33959</v>
      </c>
      <c r="G104" s="15">
        <f>G103-G106</f>
        <v>35331.199999999997</v>
      </c>
      <c r="H104" s="15">
        <f t="shared" ref="H104:M104" si="13">H103-H106</f>
        <v>35380</v>
      </c>
      <c r="I104" s="15">
        <f t="shared" si="13"/>
        <v>35426.019999999997</v>
      </c>
      <c r="J104" s="15">
        <f t="shared" si="13"/>
        <v>35399.519999999997</v>
      </c>
      <c r="K104" s="15">
        <f t="shared" si="13"/>
        <v>35465.1</v>
      </c>
      <c r="L104" s="15">
        <f t="shared" si="13"/>
        <v>35448.32</v>
      </c>
      <c r="M104" s="15">
        <f t="shared" si="13"/>
        <v>35504.18</v>
      </c>
      <c r="N104" s="8"/>
    </row>
    <row r="105" spans="1:14" ht="45" customHeight="1">
      <c r="A105" s="27" t="s">
        <v>98</v>
      </c>
      <c r="B105" s="10" t="s">
        <v>67</v>
      </c>
      <c r="C105" s="53">
        <v>567</v>
      </c>
      <c r="D105" s="28">
        <v>113</v>
      </c>
      <c r="E105" s="28">
        <v>110</v>
      </c>
      <c r="F105" s="28">
        <v>85</v>
      </c>
      <c r="G105" s="28">
        <v>30</v>
      </c>
      <c r="H105" s="28">
        <v>50</v>
      </c>
      <c r="I105" s="28">
        <v>50</v>
      </c>
      <c r="J105" s="28">
        <v>50</v>
      </c>
      <c r="K105" s="28">
        <v>50</v>
      </c>
      <c r="L105" s="28">
        <v>50</v>
      </c>
      <c r="M105" s="28">
        <v>50</v>
      </c>
      <c r="N105" s="8"/>
    </row>
    <row r="106" spans="1:14" ht="21" customHeight="1">
      <c r="A106" s="27" t="s">
        <v>91</v>
      </c>
      <c r="B106" s="10" t="s">
        <v>67</v>
      </c>
      <c r="C106" s="10">
        <f>(C103-C104)</f>
        <v>1267.2000000000007</v>
      </c>
      <c r="D106" s="10">
        <f t="shared" ref="D106" si="14">(D103-D104)</f>
        <v>1077.7999999999993</v>
      </c>
      <c r="E106" s="53">
        <v>1041</v>
      </c>
      <c r="F106" s="53">
        <v>941</v>
      </c>
      <c r="G106" s="54">
        <f t="shared" ref="G106:J106" si="15">(G103-(G103*(100%-G108%)))</f>
        <v>868.80000000000291</v>
      </c>
      <c r="H106" s="54">
        <f t="shared" si="15"/>
        <v>870</v>
      </c>
      <c r="I106" s="54">
        <f t="shared" si="15"/>
        <v>833.9800000000032</v>
      </c>
      <c r="J106" s="54">
        <f t="shared" si="15"/>
        <v>870.4800000000032</v>
      </c>
      <c r="K106" s="54">
        <f>(K103-(K103*(100%-K108%)))</f>
        <v>834.90000000000146</v>
      </c>
      <c r="L106" s="54">
        <f t="shared" ref="L106:M106" si="16">(L103-(L103*(100%-L108%)))</f>
        <v>871.68000000000029</v>
      </c>
      <c r="M106" s="54">
        <f t="shared" si="16"/>
        <v>835.81999999999971</v>
      </c>
      <c r="N106" s="8"/>
    </row>
    <row r="107" spans="1:14" ht="18.75">
      <c r="A107" s="27" t="s">
        <v>99</v>
      </c>
      <c r="B107" s="10" t="s">
        <v>16</v>
      </c>
      <c r="C107" s="10">
        <v>1.8</v>
      </c>
      <c r="D107" s="11">
        <v>0.4</v>
      </c>
      <c r="E107" s="28">
        <v>0.3</v>
      </c>
      <c r="F107" s="28">
        <v>0.3</v>
      </c>
      <c r="G107" s="28">
        <v>0.1</v>
      </c>
      <c r="H107" s="28">
        <v>0.1</v>
      </c>
      <c r="I107" s="28">
        <v>0.1</v>
      </c>
      <c r="J107" s="28">
        <v>0.1</v>
      </c>
      <c r="K107" s="28">
        <v>0.1</v>
      </c>
      <c r="L107" s="28">
        <v>0.1</v>
      </c>
      <c r="M107" s="28">
        <v>0.1</v>
      </c>
      <c r="N107" s="8"/>
    </row>
    <row r="108" spans="1:14" ht="18.75">
      <c r="A108" s="27" t="s">
        <v>103</v>
      </c>
      <c r="B108" s="10" t="s">
        <v>100</v>
      </c>
      <c r="C108" s="51">
        <f>(C106/C103*100)</f>
        <v>4.0000000000000018</v>
      </c>
      <c r="D108" s="51">
        <f t="shared" ref="D108" si="17">(D106/D103*100)</f>
        <v>3.3999999999999977</v>
      </c>
      <c r="E108" s="13">
        <v>3.2</v>
      </c>
      <c r="F108" s="13">
        <v>2.6</v>
      </c>
      <c r="G108" s="13">
        <v>2.4</v>
      </c>
      <c r="H108" s="13">
        <v>2.4</v>
      </c>
      <c r="I108" s="13">
        <v>2.2999999999999998</v>
      </c>
      <c r="J108" s="13">
        <v>2.4</v>
      </c>
      <c r="K108" s="13">
        <v>2.2999999999999998</v>
      </c>
      <c r="L108" s="13">
        <v>2.4</v>
      </c>
      <c r="M108" s="13">
        <v>2.2999999999999998</v>
      </c>
      <c r="N108" s="8"/>
    </row>
    <row r="109" spans="1:14" ht="42" customHeight="1">
      <c r="A109" s="23" t="s">
        <v>82</v>
      </c>
      <c r="B109" s="10" t="s">
        <v>67</v>
      </c>
      <c r="C109" s="22">
        <v>27700</v>
      </c>
      <c r="D109" s="11">
        <v>27700</v>
      </c>
      <c r="E109" s="11">
        <v>31100</v>
      </c>
      <c r="F109" s="11">
        <v>31200</v>
      </c>
      <c r="G109" s="11">
        <v>31300</v>
      </c>
      <c r="H109" s="50">
        <v>31300</v>
      </c>
      <c r="I109" s="50">
        <v>31300</v>
      </c>
      <c r="J109" s="50">
        <v>31300</v>
      </c>
      <c r="K109" s="50">
        <v>31300</v>
      </c>
      <c r="L109" s="50">
        <v>31380</v>
      </c>
      <c r="M109" s="50">
        <v>31380</v>
      </c>
      <c r="N109" s="8"/>
    </row>
    <row r="110" spans="1:14" ht="37.5">
      <c r="A110" s="23" t="s">
        <v>71</v>
      </c>
      <c r="B110" s="26" t="s">
        <v>72</v>
      </c>
      <c r="C110" s="22">
        <v>19286</v>
      </c>
      <c r="D110" s="11">
        <v>20818</v>
      </c>
      <c r="E110" s="11">
        <v>25846</v>
      </c>
      <c r="F110" s="11">
        <v>34700</v>
      </c>
      <c r="G110" s="11">
        <v>39070</v>
      </c>
      <c r="H110" s="50">
        <v>42300</v>
      </c>
      <c r="I110" s="50">
        <v>42354</v>
      </c>
      <c r="J110" s="50">
        <v>45300</v>
      </c>
      <c r="K110" s="50">
        <v>45541</v>
      </c>
      <c r="L110" s="50">
        <v>48650</v>
      </c>
      <c r="M110" s="50">
        <v>48864</v>
      </c>
      <c r="N110" s="8"/>
    </row>
    <row r="111" spans="1:14" ht="18.75">
      <c r="A111" s="23"/>
      <c r="B111" s="26" t="s">
        <v>44</v>
      </c>
      <c r="C111" s="10">
        <v>106.2</v>
      </c>
      <c r="D111" s="11">
        <f>(D110/C110*100)</f>
        <v>107.94358602094785</v>
      </c>
      <c r="E111" s="11">
        <f>E110/D110*100</f>
        <v>124.15217600153714</v>
      </c>
      <c r="F111" s="11">
        <f>(F110/E110%)</f>
        <v>134.2567515282829</v>
      </c>
      <c r="G111" s="11">
        <f>(G110/F110%)</f>
        <v>112.59365994236312</v>
      </c>
      <c r="H111" s="50">
        <f>(H110/G110%)</f>
        <v>108.26721269516253</v>
      </c>
      <c r="I111" s="50">
        <f>(I110/G110%)</f>
        <v>108.40542615817763</v>
      </c>
      <c r="J111" s="50">
        <f>(J110/H110%)</f>
        <v>107.09219858156028</v>
      </c>
      <c r="K111" s="50">
        <f>(K110/I110%)</f>
        <v>107.52467299428625</v>
      </c>
      <c r="L111" s="50">
        <f>(L110/J110%)</f>
        <v>107.39514348785872</v>
      </c>
      <c r="M111" s="50">
        <f>(M110/K110%)</f>
        <v>107.29672163544937</v>
      </c>
      <c r="N111" s="8"/>
    </row>
    <row r="112" spans="1:14" ht="42.75" customHeight="1">
      <c r="A112" s="12" t="s">
        <v>70</v>
      </c>
      <c r="B112" s="10" t="s">
        <v>12</v>
      </c>
      <c r="C112" s="22">
        <v>6142000</v>
      </c>
      <c r="D112" s="11">
        <v>6920000</v>
      </c>
      <c r="E112" s="11">
        <v>9646000</v>
      </c>
      <c r="F112" s="11">
        <v>12995000</v>
      </c>
      <c r="G112" s="11">
        <v>14675000</v>
      </c>
      <c r="H112" s="50">
        <v>15900000</v>
      </c>
      <c r="I112" s="50">
        <v>15908000</v>
      </c>
      <c r="J112" s="50">
        <v>17100000</v>
      </c>
      <c r="K112" s="50">
        <v>17133000</v>
      </c>
      <c r="L112" s="50">
        <v>18300000</v>
      </c>
      <c r="M112" s="50">
        <v>18400000</v>
      </c>
      <c r="N112" s="8"/>
    </row>
    <row r="113" spans="1:14" ht="37.5">
      <c r="A113" s="23" t="s">
        <v>73</v>
      </c>
      <c r="B113" s="26" t="s">
        <v>72</v>
      </c>
      <c r="C113" s="22">
        <v>34966.1</v>
      </c>
      <c r="D113" s="11">
        <v>38659.300000000003</v>
      </c>
      <c r="E113" s="11">
        <v>45705</v>
      </c>
      <c r="F113" s="11">
        <v>52783</v>
      </c>
      <c r="G113" s="11">
        <v>60846</v>
      </c>
      <c r="H113" s="50">
        <v>65400</v>
      </c>
      <c r="I113" s="50">
        <v>65800</v>
      </c>
      <c r="J113" s="50">
        <v>69400</v>
      </c>
      <c r="K113" s="50">
        <v>70500</v>
      </c>
      <c r="L113" s="50">
        <v>74100</v>
      </c>
      <c r="M113" s="50">
        <v>75500</v>
      </c>
      <c r="N113" s="8"/>
    </row>
    <row r="114" spans="1:14" ht="18.75">
      <c r="A114" s="23"/>
      <c r="B114" s="26" t="s">
        <v>44</v>
      </c>
      <c r="C114" s="10">
        <v>109.4</v>
      </c>
      <c r="D114" s="11">
        <f>(D113/C113*100)</f>
        <v>110.56223027446586</v>
      </c>
      <c r="E114" s="11">
        <f>E113/D113*100</f>
        <v>118.22511012874004</v>
      </c>
      <c r="F114" s="11">
        <f>(F113/E113%)</f>
        <v>115.48627064872552</v>
      </c>
      <c r="G114" s="11">
        <f>(G113/F113%)</f>
        <v>115.27575166246707</v>
      </c>
      <c r="H114" s="50">
        <f>(H113/G113%)</f>
        <v>107.48446898727936</v>
      </c>
      <c r="I114" s="50">
        <f>(I113/G113%)</f>
        <v>108.14186635111592</v>
      </c>
      <c r="J114" s="50">
        <f>(J113/H113%)</f>
        <v>106.11620795107034</v>
      </c>
      <c r="K114" s="50">
        <f>(K113/I113%)</f>
        <v>107.14285714285714</v>
      </c>
      <c r="L114" s="50">
        <f>(L113/J113%)</f>
        <v>106.77233429394812</v>
      </c>
      <c r="M114" s="50">
        <f>(M113/K113%)</f>
        <v>107.09219858156028</v>
      </c>
      <c r="N114" s="8"/>
    </row>
    <row r="115" spans="1:14" ht="37.5">
      <c r="A115" s="23" t="s">
        <v>74</v>
      </c>
      <c r="B115" s="10" t="s">
        <v>72</v>
      </c>
      <c r="C115" s="11">
        <v>11027</v>
      </c>
      <c r="D115" s="11">
        <v>11280</v>
      </c>
      <c r="E115" s="11">
        <v>13127</v>
      </c>
      <c r="F115" s="11">
        <v>13560</v>
      </c>
      <c r="G115" s="11">
        <v>14217</v>
      </c>
      <c r="H115" s="50">
        <v>16314</v>
      </c>
      <c r="I115" s="50">
        <v>16314</v>
      </c>
      <c r="J115" s="50">
        <v>16967</v>
      </c>
      <c r="K115" s="50">
        <v>17049</v>
      </c>
      <c r="L115" s="50">
        <v>17662</v>
      </c>
      <c r="M115" s="50">
        <v>17730</v>
      </c>
      <c r="N115" s="8"/>
    </row>
    <row r="116" spans="1:14" ht="30.75" customHeight="1">
      <c r="A116" s="9" t="s">
        <v>123</v>
      </c>
      <c r="B116" s="26"/>
      <c r="C116" s="26"/>
      <c r="D116" s="11"/>
      <c r="E116" s="11"/>
      <c r="F116" s="11"/>
      <c r="G116" s="11"/>
      <c r="H116" s="20"/>
      <c r="I116" s="20"/>
      <c r="J116" s="20"/>
      <c r="K116" s="20"/>
      <c r="L116" s="20"/>
      <c r="M116" s="20"/>
      <c r="N116" s="8"/>
    </row>
    <row r="117" spans="1:14" ht="37.5">
      <c r="A117" s="23" t="s">
        <v>17</v>
      </c>
      <c r="B117" s="26" t="s">
        <v>48</v>
      </c>
      <c r="C117" s="11">
        <v>5887000</v>
      </c>
      <c r="D117" s="11">
        <v>6885800</v>
      </c>
      <c r="E117" s="11">
        <v>7509300</v>
      </c>
      <c r="F117" s="11">
        <v>8189580.5</v>
      </c>
      <c r="G117" s="11">
        <v>8642851</v>
      </c>
      <c r="H117" s="28">
        <v>9200050</v>
      </c>
      <c r="I117" s="28">
        <v>9607113</v>
      </c>
      <c r="J117" s="28">
        <v>9684587</v>
      </c>
      <c r="K117" s="28">
        <v>10700348</v>
      </c>
      <c r="L117" s="28">
        <v>10459182</v>
      </c>
      <c r="M117" s="28">
        <v>11994993</v>
      </c>
      <c r="N117" s="8"/>
    </row>
    <row r="118" spans="1:14" ht="37.5">
      <c r="A118" s="23" t="s">
        <v>75</v>
      </c>
      <c r="B118" s="26" t="s">
        <v>50</v>
      </c>
      <c r="C118" s="11">
        <v>111.9</v>
      </c>
      <c r="D118" s="11">
        <f>(D117/D119%/C117*100)</f>
        <v>108.20184709028989</v>
      </c>
      <c r="E118" s="11">
        <f>E117/(D117*E119%)*100</f>
        <v>93.851003904415734</v>
      </c>
      <c r="F118" s="11">
        <v>103.2</v>
      </c>
      <c r="G118" s="11">
        <f>G117/(E117*G119%)*100</f>
        <v>107.06539085332638</v>
      </c>
      <c r="H118" s="28">
        <f>H117/(G117*H119%)*100</f>
        <v>100.80202193241628</v>
      </c>
      <c r="I118" s="28">
        <f>I117/(G117*I119%)*100</f>
        <v>105.36185624911847</v>
      </c>
      <c r="J118" s="28">
        <f>J117/(H117*J119%)*100</f>
        <v>100.73366306075569</v>
      </c>
      <c r="K118" s="28">
        <f>K117/(I117*K119%)*100</f>
        <v>106.58318960248343</v>
      </c>
      <c r="L118" s="28">
        <f>L117/(J117*L119%)*100</f>
        <v>103.74469202220327</v>
      </c>
      <c r="M118" s="28">
        <f>(M117/M119%/K117*100)</f>
        <v>107.68404656879326</v>
      </c>
      <c r="N118" s="8"/>
    </row>
    <row r="119" spans="1:14" ht="18.75">
      <c r="A119" s="12" t="s">
        <v>18</v>
      </c>
      <c r="B119" s="26" t="s">
        <v>16</v>
      </c>
      <c r="C119" s="11">
        <v>104</v>
      </c>
      <c r="D119" s="11">
        <v>108.1</v>
      </c>
      <c r="E119" s="11">
        <v>116.2</v>
      </c>
      <c r="F119" s="11">
        <v>105.7</v>
      </c>
      <c r="G119" s="11">
        <v>107.5</v>
      </c>
      <c r="H119" s="28">
        <v>105.6</v>
      </c>
      <c r="I119" s="28">
        <v>105.5</v>
      </c>
      <c r="J119" s="28">
        <v>104.5</v>
      </c>
      <c r="K119" s="28">
        <v>104.5</v>
      </c>
      <c r="L119" s="28">
        <v>104.1</v>
      </c>
      <c r="M119" s="28">
        <v>104.1</v>
      </c>
      <c r="N119" s="8"/>
    </row>
    <row r="120" spans="1:14" ht="37.5">
      <c r="A120" s="23" t="s">
        <v>19</v>
      </c>
      <c r="B120" s="26" t="s">
        <v>48</v>
      </c>
      <c r="C120" s="11">
        <v>275924.7</v>
      </c>
      <c r="D120" s="11">
        <v>350200</v>
      </c>
      <c r="E120" s="11">
        <v>396200</v>
      </c>
      <c r="F120" s="11">
        <v>493300</v>
      </c>
      <c r="G120" s="11">
        <v>565142</v>
      </c>
      <c r="H120" s="28">
        <v>639553</v>
      </c>
      <c r="I120" s="28">
        <v>643128</v>
      </c>
      <c r="J120" s="28">
        <v>709357</v>
      </c>
      <c r="K120" s="28">
        <v>722734</v>
      </c>
      <c r="L120" s="28">
        <v>791792</v>
      </c>
      <c r="M120" s="28">
        <v>806808</v>
      </c>
      <c r="N120" s="8"/>
    </row>
    <row r="121" spans="1:14" ht="37.5">
      <c r="A121" s="23" t="s">
        <v>76</v>
      </c>
      <c r="B121" s="26" t="s">
        <v>50</v>
      </c>
      <c r="C121" s="11">
        <v>69.400000000000006</v>
      </c>
      <c r="D121" s="11">
        <f>(D120/D122%/C120*100)</f>
        <v>123.58197146944751</v>
      </c>
      <c r="E121" s="11">
        <f>E120/(D120*E122%)*100</f>
        <v>103.69876372856992</v>
      </c>
      <c r="F121" s="11">
        <f>(F120/(E120*F122%)*100)</f>
        <v>114.22736177169345</v>
      </c>
      <c r="G121" s="11">
        <f>(G120/(F120*G122%)*100)</f>
        <v>105.7835194749065</v>
      </c>
      <c r="H121" s="28">
        <f>(H120/(G120*H122%)*100)</f>
        <v>104.78405492844342</v>
      </c>
      <c r="I121" s="28">
        <f>(I120/(G120*I122%)*100)</f>
        <v>105.46743623701829</v>
      </c>
      <c r="J121" s="28">
        <f>(J120/(H120*J122%)*100)</f>
        <v>106.13827568876847</v>
      </c>
      <c r="K121" s="28">
        <f>(K120/(I120*K122%)*100)</f>
        <v>107.53869886765753</v>
      </c>
      <c r="L121" s="28">
        <f>(L120/(J120*L122%)*100)</f>
        <v>107.1219652881442</v>
      </c>
      <c r="M121" s="28">
        <f>(M120/(K120*M122%)*100)</f>
        <v>107.13317871713268</v>
      </c>
      <c r="N121" s="8"/>
    </row>
    <row r="122" spans="1:14" ht="18.75">
      <c r="A122" s="12" t="s">
        <v>20</v>
      </c>
      <c r="B122" s="26" t="s">
        <v>16</v>
      </c>
      <c r="C122" s="11">
        <v>103.3</v>
      </c>
      <c r="D122" s="11">
        <v>102.7</v>
      </c>
      <c r="E122" s="11">
        <v>109.1</v>
      </c>
      <c r="F122" s="11">
        <v>109</v>
      </c>
      <c r="G122" s="11">
        <v>108.3</v>
      </c>
      <c r="H122" s="28">
        <v>108</v>
      </c>
      <c r="I122" s="28">
        <v>107.9</v>
      </c>
      <c r="J122" s="28">
        <v>104.5</v>
      </c>
      <c r="K122" s="28">
        <v>104.5</v>
      </c>
      <c r="L122" s="28">
        <v>104.2</v>
      </c>
      <c r="M122" s="28">
        <v>104.2</v>
      </c>
    </row>
    <row r="125" spans="1:14" ht="20.25">
      <c r="A125" s="6" t="s">
        <v>136</v>
      </c>
    </row>
    <row r="126" spans="1:14" ht="20.25">
      <c r="A126" s="6" t="s">
        <v>137</v>
      </c>
    </row>
    <row r="127" spans="1:14" ht="20.25">
      <c r="A127" s="6" t="s">
        <v>138</v>
      </c>
      <c r="H127" s="6" t="s">
        <v>139</v>
      </c>
    </row>
  </sheetData>
  <mergeCells count="15">
    <mergeCell ref="K4:M4"/>
    <mergeCell ref="L2:M2"/>
    <mergeCell ref="K3:M3"/>
    <mergeCell ref="A5:M5"/>
    <mergeCell ref="A6:M6"/>
    <mergeCell ref="H9:I9"/>
    <mergeCell ref="J9:K9"/>
    <mergeCell ref="L9:M9"/>
    <mergeCell ref="A8:A11"/>
    <mergeCell ref="B8:B11"/>
    <mergeCell ref="D9:D11"/>
    <mergeCell ref="C9:C11"/>
    <mergeCell ref="E9:E11"/>
    <mergeCell ref="G9:G11"/>
    <mergeCell ref="F9:F11"/>
  </mergeCells>
  <phoneticPr fontId="4" type="noConversion"/>
  <pageMargins left="0.19685039370078741" right="0.15748031496062992" top="0.39370078740157483" bottom="0.39370078740157483" header="0.51181102362204722" footer="0.51181102362204722"/>
  <pageSetup paperSize="9" scale="47" fitToHeight="0" orientation="landscape" r:id="rId1"/>
  <headerFooter alignWithMargins="0"/>
  <rowBreaks count="2" manualBreakCount="2">
    <brk id="74" max="10" man="1"/>
    <brk id="10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Щербакова</cp:lastModifiedBy>
  <cp:lastPrinted>2024-11-07T07:50:56Z</cp:lastPrinted>
  <dcterms:created xsi:type="dcterms:W3CDTF">2013-05-25T16:45:04Z</dcterms:created>
  <dcterms:modified xsi:type="dcterms:W3CDTF">2024-11-13T06:27:57Z</dcterms:modified>
</cp:coreProperties>
</file>